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70" windowWidth="15390" windowHeight="5370" firstSheet="35" activeTab="38"/>
  </bookViews>
  <sheets>
    <sheet name="ADERALDO OLIVEIRA" sheetId="29" r:id="rId1"/>
    <sheet name="AERTO LUNA" sheetId="2" r:id="rId2"/>
    <sheet name="AIMÉE SILVA" sheetId="30" r:id="rId3"/>
    <sheet name="ALCIDES TEIXEIRA NETO" sheetId="4" r:id="rId4"/>
    <sheet name="ALINE MARIANO" sheetId="5" r:id="rId5"/>
    <sheet name="ALMIR FERNANDO" sheetId="6" r:id="rId6"/>
    <sheet name="AMARO CIPRIANO" sheetId="7" r:id="rId7"/>
    <sheet name="ANA LÚCIA" sheetId="12" r:id="rId8"/>
    <sheet name="ANDRÉ RÉGIS" sheetId="26" r:id="rId9"/>
    <sheet name="ANTONIO LUIZ NETO" sheetId="9" r:id="rId10"/>
    <sheet name="AUGUSTO CARRERAS" sheetId="10" r:id="rId11"/>
    <sheet name="BENJAMIN DA SAÚDE" sheetId="14" r:id="rId12"/>
    <sheet name="CARLOS GUEIROS" sheetId="11" r:id="rId13"/>
    <sheet name="CHICO KIKO" sheetId="17" r:id="rId14"/>
    <sheet name="DAVI MUNIZ" sheetId="16" r:id="rId15"/>
    <sheet name="DAIZE MICHELE" sheetId="3" r:id="rId16"/>
    <sheet name="EDUARDO CHERA" sheetId="37" r:id="rId17"/>
    <sheet name="EDUARDO MARQUES" sheetId="13" r:id="rId18"/>
    <sheet name="FELIPE FRANCISMAR" sheetId="21" r:id="rId19"/>
    <sheet name="FRED FERREIRA" sheetId="33" r:id="rId20"/>
    <sheet name="GILBERTO ALVES" sheetId="15" r:id="rId21"/>
    <sheet name="HÉLIO GUABIRARA" sheetId="20" r:id="rId22"/>
    <sheet name="IVAN MORAES" sheetId="25" r:id="rId23"/>
    <sheet name="JAYME ASFORA" sheetId="23" r:id="rId24"/>
    <sheet name="JAIRO BRITTO" sheetId="19" r:id="rId25"/>
    <sheet name="JÚNIOR BOCÃO" sheetId="22" r:id="rId26"/>
    <sheet name="MARCO AURÉLIO" sheetId="28" r:id="rId27"/>
    <sheet name="MARÍLIA ARRAES" sheetId="41" r:id="rId28"/>
    <sheet name="MARCOS DI BRIA" sheetId="27" r:id="rId29"/>
    <sheet name="NATÁLIA DE MENUDO" sheetId="35" r:id="rId30"/>
    <sheet name="RAFAEL ACIOLI" sheetId="8" r:id="rId31"/>
    <sheet name="RINALDO JÚNIOR" sheetId="47" r:id="rId32"/>
    <sheet name="RENATO ANTUNES" sheetId="31" r:id="rId33"/>
    <sheet name="RICARDO CRUZ" sheetId="40" r:id="rId34"/>
    <sheet name="RODRIGO COUTINHO" sheetId="45" r:id="rId35"/>
    <sheet name="ROGÉRIO DE LUCCA" sheetId="38" r:id="rId36"/>
    <sheet name="ROMERINHO JATOBÁ " sheetId="24" r:id="rId37"/>
    <sheet name="ROMERO ALBUQUERQUE" sheetId="46" r:id="rId38"/>
    <sheet name="WANDERSON SOBRAL" sheetId="44" r:id="rId39"/>
  </sheets>
  <calcPr calcId="144525"/>
  <fileRecoveryPr repairLoad="1"/>
</workbook>
</file>

<file path=xl/calcChain.xml><?xml version="1.0" encoding="utf-8"?>
<calcChain xmlns="http://schemas.openxmlformats.org/spreadsheetml/2006/main">
  <c r="I22" i="44" l="1"/>
  <c r="I21" i="44"/>
  <c r="I19" i="44"/>
  <c r="I22" i="46"/>
  <c r="I21" i="46"/>
  <c r="I19" i="46"/>
  <c r="I22" i="24"/>
  <c r="H21" i="24"/>
  <c r="I21" i="24"/>
  <c r="H19" i="24"/>
  <c r="I19" i="24"/>
  <c r="I20" i="45"/>
  <c r="I22" i="45"/>
  <c r="I21" i="45"/>
  <c r="I19" i="45"/>
  <c r="I22" i="40"/>
  <c r="I21" i="40"/>
  <c r="I19" i="40"/>
  <c r="I22" i="8"/>
  <c r="I21" i="8"/>
  <c r="I19" i="8"/>
  <c r="I22" i="35"/>
  <c r="I21" i="35"/>
  <c r="I22" i="27"/>
  <c r="I21" i="27"/>
  <c r="H22" i="41"/>
  <c r="I22" i="41"/>
  <c r="H21" i="41"/>
  <c r="I21" i="41"/>
  <c r="H19" i="41"/>
  <c r="I19" i="41"/>
  <c r="I22" i="28"/>
  <c r="I21" i="28"/>
  <c r="I19" i="28"/>
  <c r="I21" i="22"/>
  <c r="H19" i="22"/>
  <c r="H21" i="22" s="1"/>
  <c r="I19" i="22"/>
  <c r="I12" i="22"/>
  <c r="I22" i="19"/>
  <c r="I21" i="19"/>
  <c r="I19" i="19"/>
  <c r="I13" i="19"/>
  <c r="H22" i="22" l="1"/>
  <c r="I22" i="22"/>
  <c r="H19" i="23" l="1"/>
  <c r="I19" i="23"/>
  <c r="I21" i="23" s="1"/>
  <c r="I10" i="23"/>
  <c r="I15" i="23"/>
  <c r="I21" i="25" l="1"/>
  <c r="I22" i="25" s="1"/>
  <c r="I19" i="25"/>
  <c r="I10" i="25"/>
  <c r="I21" i="20"/>
  <c r="I22" i="20" s="1"/>
  <c r="I22" i="15"/>
  <c r="I22" i="33"/>
  <c r="I21" i="33"/>
  <c r="I22" i="21"/>
  <c r="I22" i="37"/>
  <c r="I21" i="37"/>
  <c r="I19" i="37"/>
  <c r="I19" i="3"/>
  <c r="I21" i="3" s="1"/>
  <c r="H19" i="3"/>
  <c r="I15" i="3"/>
  <c r="I22" i="17"/>
  <c r="I21" i="17"/>
  <c r="I19" i="17"/>
  <c r="I22" i="11"/>
  <c r="I21" i="11"/>
  <c r="I19" i="11"/>
  <c r="I15" i="11"/>
  <c r="I15" i="14"/>
  <c r="I19" i="14"/>
  <c r="I21" i="14" s="1"/>
  <c r="I22" i="14" s="1"/>
  <c r="I22" i="10"/>
  <c r="I21" i="10"/>
  <c r="I19" i="10"/>
  <c r="I19" i="9"/>
  <c r="I21" i="9" s="1"/>
  <c r="I22" i="9" s="1"/>
  <c r="H22" i="9"/>
  <c r="G19" i="9"/>
  <c r="G21" i="9" s="1"/>
  <c r="I22" i="26"/>
  <c r="I21" i="26"/>
  <c r="I19" i="26"/>
  <c r="I22" i="12"/>
  <c r="I21" i="12"/>
  <c r="I19" i="12"/>
  <c r="I12" i="12"/>
  <c r="I22" i="7"/>
  <c r="I21" i="7"/>
  <c r="I19" i="7"/>
  <c r="I19" i="6"/>
  <c r="I21" i="6" s="1"/>
  <c r="I22" i="6" s="1"/>
  <c r="I13" i="6"/>
  <c r="I15" i="6"/>
  <c r="I19" i="5"/>
  <c r="I21" i="5" s="1"/>
  <c r="H19" i="5"/>
  <c r="I12" i="5"/>
  <c r="I22" i="4"/>
  <c r="I21" i="4"/>
  <c r="I19" i="4"/>
  <c r="I19" i="30"/>
  <c r="I21" i="30" s="1"/>
  <c r="I9" i="30"/>
  <c r="I6" i="30"/>
  <c r="I15" i="2"/>
  <c r="I19" i="2"/>
  <c r="I21" i="2" s="1"/>
  <c r="I22" i="2" s="1"/>
  <c r="I22" i="29"/>
  <c r="I19" i="29"/>
  <c r="I21" i="29" s="1"/>
  <c r="H22" i="10" l="1"/>
  <c r="H21" i="10"/>
  <c r="H19" i="10"/>
  <c r="G22" i="14"/>
  <c r="H22" i="14"/>
  <c r="H21" i="14"/>
  <c r="H19" i="14"/>
  <c r="H22" i="44"/>
  <c r="H21" i="44"/>
  <c r="H19" i="44"/>
  <c r="H22" i="40"/>
  <c r="H21" i="40"/>
  <c r="H19" i="40"/>
  <c r="H22" i="6"/>
  <c r="H21" i="6"/>
  <c r="H19" i="6"/>
  <c r="H22" i="19"/>
  <c r="H21" i="19"/>
  <c r="H19" i="19"/>
  <c r="H22" i="45"/>
  <c r="H21" i="45"/>
  <c r="H19" i="45"/>
  <c r="H22" i="2"/>
  <c r="H19" i="2" l="1"/>
  <c r="H21" i="2" s="1"/>
  <c r="H22" i="11"/>
  <c r="H21" i="11"/>
  <c r="H19" i="11"/>
  <c r="H22" i="12"/>
  <c r="H21" i="12"/>
  <c r="H19" i="12"/>
  <c r="H22" i="28"/>
  <c r="H21" i="28"/>
  <c r="H19" i="28"/>
  <c r="H22" i="26"/>
  <c r="H21" i="26"/>
  <c r="H19" i="26"/>
  <c r="H22" i="17"/>
  <c r="H21" i="17"/>
  <c r="H19" i="17"/>
  <c r="H22" i="4"/>
  <c r="H21" i="4"/>
  <c r="H19" i="4"/>
  <c r="H22" i="15"/>
  <c r="H22" i="24"/>
  <c r="H22" i="33"/>
  <c r="H21" i="33"/>
  <c r="H19" i="30"/>
  <c r="H21" i="30" s="1"/>
  <c r="I22" i="30" s="1"/>
  <c r="H22" i="25"/>
  <c r="H21" i="25"/>
  <c r="H19" i="25"/>
  <c r="H22" i="23"/>
  <c r="H21" i="23"/>
  <c r="I22" i="23" s="1"/>
  <c r="H22" i="46"/>
  <c r="H21" i="46"/>
  <c r="H19" i="46"/>
  <c r="H19" i="29"/>
  <c r="H21" i="29" s="1"/>
  <c r="H21" i="5"/>
  <c r="I22" i="5" s="1"/>
  <c r="H22" i="16"/>
  <c r="H22" i="37"/>
  <c r="H21" i="37"/>
  <c r="H19" i="37"/>
  <c r="H22" i="8"/>
  <c r="H21" i="8"/>
  <c r="H19" i="8"/>
  <c r="H22" i="35"/>
  <c r="H21" i="35"/>
  <c r="H22" i="20"/>
  <c r="H21" i="20"/>
  <c r="H22" i="7"/>
  <c r="H21" i="7"/>
  <c r="H19" i="7"/>
  <c r="H21" i="27"/>
  <c r="H22" i="27" s="1"/>
  <c r="H22" i="21"/>
  <c r="H22" i="5" l="1"/>
  <c r="H22" i="30"/>
  <c r="G22" i="10"/>
  <c r="G21" i="10"/>
  <c r="G19" i="10"/>
  <c r="G22" i="44" l="1"/>
  <c r="G21" i="44"/>
  <c r="G19" i="44"/>
  <c r="G21" i="46"/>
  <c r="G22" i="46" s="1"/>
  <c r="G19" i="46"/>
  <c r="G12" i="46"/>
  <c r="G22" i="24"/>
  <c r="G21" i="24"/>
  <c r="G19" i="24"/>
  <c r="G22" i="45"/>
  <c r="G21" i="45"/>
  <c r="G19" i="45"/>
  <c r="G22" i="40"/>
  <c r="G21" i="40"/>
  <c r="G19" i="40"/>
  <c r="G22" i="8"/>
  <c r="G21" i="8"/>
  <c r="G19" i="8"/>
  <c r="G22" i="35"/>
  <c r="G21" i="35"/>
  <c r="G22" i="27"/>
  <c r="G21" i="27"/>
  <c r="G12" i="27"/>
  <c r="G22" i="41"/>
  <c r="G21" i="41"/>
  <c r="G19" i="41"/>
  <c r="G22" i="28"/>
  <c r="G21" i="28"/>
  <c r="G19" i="28"/>
  <c r="G21" i="22"/>
  <c r="G22" i="22" s="1"/>
  <c r="G19" i="22"/>
  <c r="G22" i="19"/>
  <c r="G21" i="19"/>
  <c r="G19" i="19"/>
  <c r="G22" i="23"/>
  <c r="F22" i="23"/>
  <c r="E22" i="23"/>
  <c r="G21" i="23"/>
  <c r="G19" i="23"/>
  <c r="G15" i="23"/>
  <c r="G10" i="23"/>
  <c r="G22" i="25"/>
  <c r="G21" i="25"/>
  <c r="G19" i="25"/>
  <c r="G10" i="25"/>
  <c r="G22" i="20"/>
  <c r="G21" i="20"/>
  <c r="G22" i="15"/>
  <c r="G22" i="33"/>
  <c r="G21" i="33"/>
  <c r="G19" i="33"/>
  <c r="G22" i="21"/>
  <c r="G21" i="21"/>
  <c r="G19" i="21"/>
  <c r="G22" i="37" l="1"/>
  <c r="G21" i="37"/>
  <c r="G19" i="37"/>
  <c r="G22" i="3"/>
  <c r="G19" i="3"/>
  <c r="G15" i="3"/>
  <c r="G22" i="17"/>
  <c r="G21" i="17"/>
  <c r="G19" i="17"/>
  <c r="G22" i="11"/>
  <c r="G21" i="11"/>
  <c r="G19" i="11"/>
  <c r="G21" i="14"/>
  <c r="G19" i="14"/>
  <c r="G19" i="26"/>
  <c r="G21" i="26" s="1"/>
  <c r="G22" i="12"/>
  <c r="G21" i="12"/>
  <c r="G19" i="12"/>
  <c r="G22" i="7"/>
  <c r="G21" i="7"/>
  <c r="G19" i="7"/>
  <c r="G21" i="6"/>
  <c r="G22" i="6" s="1"/>
  <c r="G15" i="6"/>
  <c r="G19" i="6"/>
  <c r="G10" i="6"/>
  <c r="G22" i="5"/>
  <c r="G21" i="5"/>
  <c r="G19" i="5"/>
  <c r="G12" i="5"/>
  <c r="G22" i="4"/>
  <c r="G21" i="4"/>
  <c r="G19" i="4"/>
  <c r="G19" i="30"/>
  <c r="G21" i="30" s="1"/>
  <c r="G22" i="30" s="1"/>
  <c r="G6" i="30"/>
  <c r="G15" i="2"/>
  <c r="G19" i="2" s="1"/>
  <c r="G21" i="2" s="1"/>
  <c r="G19" i="29"/>
  <c r="G21" i="29" s="1"/>
  <c r="G22" i="9" l="1"/>
  <c r="F19" i="33"/>
  <c r="F22" i="44" l="1"/>
  <c r="F21" i="44"/>
  <c r="F19" i="44"/>
  <c r="F22" i="46"/>
  <c r="F21" i="46"/>
  <c r="F19" i="46"/>
  <c r="F12" i="46"/>
  <c r="F22" i="24"/>
  <c r="F21" i="24"/>
  <c r="F19" i="24"/>
  <c r="F22" i="45"/>
  <c r="F21" i="45"/>
  <c r="F19" i="45"/>
  <c r="F19" i="40" l="1"/>
  <c r="F21" i="40" s="1"/>
  <c r="F22" i="40" s="1"/>
  <c r="F22" i="8"/>
  <c r="F21" i="8"/>
  <c r="F19" i="8"/>
  <c r="F22" i="35"/>
  <c r="F21" i="35"/>
  <c r="F22" i="27"/>
  <c r="F21" i="27"/>
  <c r="F22" i="41"/>
  <c r="F21" i="41"/>
  <c r="F19" i="41"/>
  <c r="F21" i="28"/>
  <c r="F22" i="28" s="1"/>
  <c r="F19" i="28"/>
  <c r="F22" i="22"/>
  <c r="F21" i="22"/>
  <c r="F19" i="22"/>
  <c r="F12" i="22"/>
  <c r="F22" i="19"/>
  <c r="F21" i="19"/>
  <c r="F19" i="19"/>
  <c r="F13" i="19"/>
  <c r="F19" i="25" l="1"/>
  <c r="F21" i="25" s="1"/>
  <c r="F22" i="25" s="1"/>
  <c r="F10" i="25"/>
  <c r="F22" i="20"/>
  <c r="F22" i="15"/>
  <c r="F22" i="33"/>
  <c r="F21" i="33"/>
  <c r="F22" i="21" l="1"/>
  <c r="F21" i="21"/>
  <c r="F19" i="21"/>
  <c r="F22" i="37" l="1"/>
  <c r="F21" i="37"/>
  <c r="F19" i="37"/>
  <c r="F19" i="3"/>
  <c r="F15" i="3"/>
  <c r="F22" i="17"/>
  <c r="F21" i="17"/>
  <c r="F19" i="17"/>
  <c r="F22" i="11"/>
  <c r="F21" i="11"/>
  <c r="F19" i="11"/>
  <c r="F15" i="11"/>
  <c r="F22" i="14"/>
  <c r="F21" i="14"/>
  <c r="F19" i="14"/>
  <c r="F9" i="14"/>
  <c r="F22" i="10"/>
  <c r="F21" i="10"/>
  <c r="F19" i="10"/>
  <c r="F22" i="9"/>
  <c r="F21" i="9"/>
  <c r="F19" i="9"/>
  <c r="F19" i="26"/>
  <c r="F21" i="26" s="1"/>
  <c r="F22" i="12"/>
  <c r="F21" i="12"/>
  <c r="F19" i="12"/>
  <c r="F22" i="7"/>
  <c r="F21" i="7"/>
  <c r="F19" i="7"/>
  <c r="F21" i="6" l="1"/>
  <c r="F20" i="6"/>
  <c r="F22" i="6"/>
  <c r="F10" i="6"/>
  <c r="F19" i="6" s="1"/>
  <c r="F15" i="6"/>
  <c r="F19" i="5"/>
  <c r="F21" i="5" s="1"/>
  <c r="F22" i="5" s="1"/>
  <c r="F12" i="5"/>
  <c r="F19" i="4"/>
  <c r="F21" i="4" s="1"/>
  <c r="F22" i="4" s="1"/>
  <c r="F6" i="30"/>
  <c r="F19" i="30"/>
  <c r="F21" i="30" s="1"/>
  <c r="F22" i="30" s="1"/>
  <c r="F19" i="2"/>
  <c r="F21" i="2" s="1"/>
  <c r="F19" i="29"/>
  <c r="F21" i="29" s="1"/>
  <c r="E6" i="25" l="1"/>
  <c r="E22" i="21" l="1"/>
  <c r="E21" i="21"/>
  <c r="E19" i="21"/>
  <c r="E22" i="44"/>
  <c r="E21" i="44"/>
  <c r="E19" i="44"/>
  <c r="E22" i="46"/>
  <c r="E21" i="46"/>
  <c r="D21" i="46"/>
  <c r="E19" i="46"/>
  <c r="E12" i="46"/>
  <c r="E22" i="24"/>
  <c r="E21" i="24"/>
  <c r="E19" i="24"/>
  <c r="E20" i="45"/>
  <c r="E21" i="45" s="1"/>
  <c r="E22" i="45" s="1"/>
  <c r="E19" i="45"/>
  <c r="E15" i="45"/>
  <c r="E7" i="45"/>
  <c r="E8" i="45"/>
  <c r="E22" i="40"/>
  <c r="E21" i="40"/>
  <c r="E19" i="40"/>
  <c r="E22" i="8"/>
  <c r="E21" i="8"/>
  <c r="E19" i="8"/>
  <c r="E22" i="35"/>
  <c r="E21" i="35"/>
  <c r="E22" i="27"/>
  <c r="E21" i="27"/>
  <c r="E12" i="27"/>
  <c r="E22" i="41"/>
  <c r="E21" i="41"/>
  <c r="E19" i="41"/>
  <c r="E22" i="28"/>
  <c r="E21" i="28"/>
  <c r="E19" i="28"/>
  <c r="E22" i="22"/>
  <c r="E21" i="22"/>
  <c r="E19" i="22"/>
  <c r="E12" i="22"/>
  <c r="E22" i="19"/>
  <c r="E21" i="19"/>
  <c r="E19" i="19"/>
  <c r="E13" i="19"/>
  <c r="E21" i="23"/>
  <c r="E15" i="23"/>
  <c r="E19" i="23" s="1"/>
  <c r="E19" i="25"/>
  <c r="E21" i="25" s="1"/>
  <c r="E22" i="25" s="1"/>
  <c r="E10" i="25"/>
  <c r="E22" i="15"/>
  <c r="E22" i="33"/>
  <c r="E21" i="33"/>
  <c r="E19" i="33"/>
  <c r="E22" i="37"/>
  <c r="E21" i="37"/>
  <c r="E19" i="37"/>
  <c r="E22" i="3"/>
  <c r="E19" i="3"/>
  <c r="E22" i="16"/>
  <c r="E20" i="16"/>
  <c r="E22" i="17"/>
  <c r="E21" i="17"/>
  <c r="E19" i="17"/>
  <c r="E22" i="11"/>
  <c r="E21" i="11"/>
  <c r="E19" i="11"/>
  <c r="E22" i="14"/>
  <c r="E21" i="14"/>
  <c r="E19" i="14"/>
  <c r="E22" i="10"/>
  <c r="E21" i="10"/>
  <c r="E19" i="10"/>
  <c r="E22" i="9"/>
  <c r="E21" i="9"/>
  <c r="E19" i="9"/>
  <c r="E21" i="26"/>
  <c r="E19" i="26"/>
  <c r="E22" i="12"/>
  <c r="E21" i="12"/>
  <c r="E19" i="12"/>
  <c r="E12" i="12"/>
  <c r="E22" i="7"/>
  <c r="E21" i="7"/>
  <c r="E19" i="7"/>
  <c r="E22" i="6"/>
  <c r="E21" i="6"/>
  <c r="E19" i="6"/>
  <c r="E15" i="6"/>
  <c r="E10" i="6"/>
  <c r="E19" i="5"/>
  <c r="E21" i="5" s="1"/>
  <c r="E22" i="5" s="1"/>
  <c r="E12" i="5"/>
  <c r="E20" i="4"/>
  <c r="E21" i="4" s="1"/>
  <c r="E22" i="4" s="1"/>
  <c r="E19" i="4"/>
  <c r="E19" i="30"/>
  <c r="E21" i="30" s="1"/>
  <c r="E6" i="30"/>
  <c r="E20" i="2"/>
  <c r="E15" i="2"/>
  <c r="E19" i="2" s="1"/>
  <c r="E21" i="29"/>
  <c r="E19" i="29"/>
  <c r="E21" i="2" l="1"/>
  <c r="D22" i="7"/>
  <c r="D22" i="44" l="1"/>
  <c r="D21" i="44"/>
  <c r="D19" i="44"/>
  <c r="D22" i="45"/>
  <c r="D21" i="45"/>
  <c r="D19" i="45"/>
  <c r="D22" i="10"/>
  <c r="C19" i="10"/>
  <c r="D21" i="10"/>
  <c r="D19" i="10"/>
  <c r="D22" i="37" l="1"/>
  <c r="D21" i="37"/>
  <c r="D19" i="37"/>
  <c r="D21" i="24"/>
  <c r="D22" i="24" s="1"/>
  <c r="D19" i="24"/>
  <c r="D22" i="46"/>
  <c r="D19" i="46"/>
  <c r="D19" i="40"/>
  <c r="D21" i="40" s="1"/>
  <c r="D22" i="8"/>
  <c r="D21" i="8"/>
  <c r="D19" i="8"/>
  <c r="D22" i="35"/>
  <c r="D21" i="35"/>
  <c r="D22" i="27"/>
  <c r="D21" i="27"/>
  <c r="D22" i="41"/>
  <c r="D21" i="41"/>
  <c r="D19" i="41"/>
  <c r="D21" i="28"/>
  <c r="D22" i="28" s="1"/>
  <c r="D19" i="28"/>
  <c r="D22" i="22"/>
  <c r="D21" i="22"/>
  <c r="D19" i="22"/>
  <c r="D22" i="19"/>
  <c r="D21" i="19"/>
  <c r="D19" i="19"/>
  <c r="D22" i="23" l="1"/>
  <c r="C22" i="23"/>
  <c r="D20" i="23"/>
  <c r="D21" i="23"/>
  <c r="D19" i="23"/>
  <c r="D15" i="23"/>
  <c r="D10" i="25"/>
  <c r="D19" i="25"/>
  <c r="D21" i="25" s="1"/>
  <c r="D22" i="25" s="1"/>
  <c r="D15" i="25"/>
  <c r="D22" i="15"/>
  <c r="C19" i="33"/>
  <c r="D19" i="33"/>
  <c r="D21" i="33" s="1"/>
  <c r="D22" i="21"/>
  <c r="D21" i="21"/>
  <c r="D19" i="21"/>
  <c r="D22" i="3"/>
  <c r="C22" i="3"/>
  <c r="D19" i="3"/>
  <c r="D21" i="3" s="1"/>
  <c r="D20" i="3"/>
  <c r="D15" i="3"/>
  <c r="D22" i="16"/>
  <c r="D20" i="16"/>
  <c r="D22" i="17"/>
  <c r="D21" i="17"/>
  <c r="D19" i="17"/>
  <c r="D22" i="11"/>
  <c r="D21" i="11"/>
  <c r="D19" i="11"/>
  <c r="D15" i="11"/>
  <c r="D20" i="14"/>
  <c r="D22" i="14"/>
  <c r="D15" i="14"/>
  <c r="D19" i="14"/>
  <c r="D21" i="14" s="1"/>
  <c r="D19" i="9"/>
  <c r="D21" i="9" s="1"/>
  <c r="D22" i="9" s="1"/>
  <c r="D21" i="26"/>
  <c r="D19" i="26"/>
  <c r="D22" i="12"/>
  <c r="D21" i="12"/>
  <c r="D19" i="12"/>
  <c r="D20" i="6"/>
  <c r="D21" i="6"/>
  <c r="D22" i="6" s="1"/>
  <c r="D19" i="6"/>
  <c r="D13" i="6"/>
  <c r="D10" i="6"/>
  <c r="D22" i="5"/>
  <c r="D21" i="5"/>
  <c r="D19" i="5"/>
  <c r="D12" i="5"/>
  <c r="D21" i="4"/>
  <c r="D22" i="4" s="1"/>
  <c r="D19" i="4"/>
  <c r="D19" i="30"/>
  <c r="D21" i="30" s="1"/>
  <c r="D19" i="2"/>
  <c r="D21" i="2" s="1"/>
  <c r="D19" i="29"/>
  <c r="D21" i="29" s="1"/>
  <c r="C22" i="10" l="1"/>
  <c r="C22" i="9"/>
  <c r="C21" i="10"/>
  <c r="B19" i="9"/>
  <c r="C22" i="41"/>
  <c r="C22" i="25"/>
  <c r="C10" i="25"/>
  <c r="C19" i="23"/>
  <c r="C21" i="23" s="1"/>
  <c r="B22" i="44"/>
  <c r="C22" i="44"/>
  <c r="C21" i="44"/>
  <c r="C22" i="24"/>
  <c r="C22" i="45"/>
  <c r="C22" i="8"/>
  <c r="C22" i="35"/>
  <c r="C22" i="27"/>
  <c r="C22" i="28"/>
  <c r="C22" i="22"/>
  <c r="C22" i="19"/>
  <c r="C22" i="15"/>
  <c r="B22" i="33"/>
  <c r="C22" i="37"/>
  <c r="B22" i="37"/>
  <c r="B22" i="3"/>
  <c r="C22" i="16"/>
  <c r="C22" i="11"/>
  <c r="C22" i="12"/>
  <c r="C22" i="7"/>
  <c r="B22" i="7"/>
  <c r="C22" i="6"/>
  <c r="B22" i="6"/>
  <c r="C22" i="5"/>
  <c r="C21" i="41" l="1"/>
  <c r="C19" i="41"/>
  <c r="C21" i="22"/>
  <c r="C19" i="22"/>
  <c r="C19" i="11"/>
  <c r="C19" i="26"/>
  <c r="C21" i="26" s="1"/>
  <c r="C21" i="24"/>
  <c r="C19" i="24"/>
  <c r="C19" i="46"/>
  <c r="C21" i="46" s="1"/>
  <c r="C19" i="44"/>
  <c r="C21" i="45"/>
  <c r="C19" i="45"/>
  <c r="C19" i="40"/>
  <c r="C21" i="40" s="1"/>
  <c r="C21" i="8"/>
  <c r="C19" i="8"/>
  <c r="C21" i="35"/>
  <c r="C21" i="28" l="1"/>
  <c r="C19" i="28"/>
  <c r="C21" i="19"/>
  <c r="C19" i="19"/>
  <c r="B22" i="25" l="1"/>
  <c r="C19" i="25"/>
  <c r="C21" i="25" s="1"/>
  <c r="C19" i="20"/>
  <c r="C21" i="20" s="1"/>
  <c r="D19" i="20"/>
  <c r="D21" i="20" s="1"/>
  <c r="E19" i="20"/>
  <c r="E21" i="20" s="1"/>
  <c r="F19" i="20"/>
  <c r="F21" i="20" s="1"/>
  <c r="G19" i="20"/>
  <c r="H19" i="20"/>
  <c r="I19" i="20"/>
  <c r="J19" i="20"/>
  <c r="K19" i="20"/>
  <c r="L19" i="20"/>
  <c r="M19" i="20"/>
  <c r="C21" i="33"/>
  <c r="C19" i="21"/>
  <c r="C21" i="21" s="1"/>
  <c r="C21" i="37"/>
  <c r="C19" i="37"/>
  <c r="C19" i="14"/>
  <c r="C21" i="14" s="1"/>
  <c r="C22" i="33" l="1"/>
  <c r="D22" i="33"/>
  <c r="C19" i="3"/>
  <c r="C15" i="3"/>
  <c r="C22" i="17" l="1"/>
  <c r="C21" i="17"/>
  <c r="C19" i="17"/>
  <c r="C12" i="17"/>
  <c r="C21" i="11"/>
  <c r="C15" i="11"/>
  <c r="C21" i="9"/>
  <c r="C19" i="9"/>
  <c r="C21" i="12"/>
  <c r="C19" i="12"/>
  <c r="C21" i="7"/>
  <c r="C19" i="7"/>
  <c r="C21" i="6"/>
  <c r="C19" i="6"/>
  <c r="C13" i="6"/>
  <c r="C21" i="5"/>
  <c r="C19" i="5"/>
  <c r="C19" i="4" l="1"/>
  <c r="C21" i="4" s="1"/>
  <c r="C19" i="30"/>
  <c r="C21" i="30" s="1"/>
  <c r="C20" i="2"/>
  <c r="C15" i="2"/>
  <c r="C19" i="2" s="1"/>
  <c r="C21" i="2" s="1"/>
  <c r="C19" i="29"/>
  <c r="C21" i="29" s="1"/>
  <c r="B19" i="30" l="1"/>
  <c r="B21" i="30" s="1"/>
  <c r="J21" i="16"/>
  <c r="M21" i="16"/>
  <c r="C19" i="16"/>
  <c r="C21" i="16" s="1"/>
  <c r="D19" i="16"/>
  <c r="D21" i="16" s="1"/>
  <c r="E19" i="16"/>
  <c r="E21" i="16" s="1"/>
  <c r="F19" i="16"/>
  <c r="F21" i="16" s="1"/>
  <c r="F22" i="16" s="1"/>
  <c r="G19" i="16"/>
  <c r="G21" i="16" s="1"/>
  <c r="G22" i="16" s="1"/>
  <c r="H19" i="16"/>
  <c r="H21" i="16" s="1"/>
  <c r="I19" i="16"/>
  <c r="I21" i="16" s="1"/>
  <c r="I22" i="16" s="1"/>
  <c r="J19" i="16"/>
  <c r="K19" i="16"/>
  <c r="K21" i="16" s="1"/>
  <c r="L19" i="16"/>
  <c r="L21" i="16" s="1"/>
  <c r="M19" i="16"/>
  <c r="B19" i="33"/>
  <c r="B21" i="33" s="1"/>
  <c r="B19" i="26"/>
  <c r="B22" i="28"/>
  <c r="B21" i="28"/>
  <c r="B19" i="28"/>
  <c r="B19" i="3"/>
  <c r="B21" i="45"/>
  <c r="B19" i="45"/>
  <c r="G19" i="27"/>
  <c r="H19" i="27"/>
  <c r="I19" i="27"/>
  <c r="J19" i="27"/>
  <c r="K19" i="27"/>
  <c r="L19" i="27"/>
  <c r="B19" i="21"/>
  <c r="B21" i="21" s="1"/>
  <c r="C22" i="21" s="1"/>
  <c r="B19" i="41"/>
  <c r="B21" i="41" s="1"/>
  <c r="B22" i="41" s="1"/>
  <c r="B19" i="40"/>
  <c r="B21" i="40" s="1"/>
  <c r="B22" i="26" l="1"/>
  <c r="B21" i="26"/>
  <c r="E22" i="30"/>
  <c r="D22" i="30"/>
  <c r="C22" i="30"/>
  <c r="B22" i="30"/>
  <c r="D22" i="40"/>
  <c r="C22" i="40"/>
  <c r="B22" i="40"/>
  <c r="M19" i="15"/>
  <c r="M21" i="15" s="1"/>
  <c r="L19" i="15"/>
  <c r="E22" i="26" l="1"/>
  <c r="D22" i="26"/>
  <c r="G22" i="26"/>
  <c r="C22" i="26"/>
  <c r="F22" i="26"/>
  <c r="M19" i="2"/>
  <c r="K19" i="15"/>
  <c r="J19" i="15" l="1"/>
  <c r="I19" i="15" l="1"/>
  <c r="H19" i="15" l="1"/>
  <c r="H21" i="15" s="1"/>
  <c r="G19" i="15" l="1"/>
  <c r="F19" i="27" l="1"/>
  <c r="F19" i="15"/>
  <c r="E19" i="15" l="1"/>
  <c r="E19" i="27" l="1"/>
  <c r="D19" i="15" l="1"/>
  <c r="D21" i="15" s="1"/>
  <c r="B22" i="21"/>
  <c r="D19" i="27"/>
  <c r="C19" i="15"/>
  <c r="C21" i="15" s="1"/>
  <c r="C21" i="3"/>
  <c r="C19" i="27"/>
  <c r="C21" i="27" s="1"/>
  <c r="B19" i="25"/>
  <c r="B21" i="25" s="1"/>
  <c r="B19" i="6"/>
  <c r="B21" i="6" s="1"/>
  <c r="B19" i="4"/>
  <c r="B21" i="4" s="1"/>
  <c r="C22" i="4" s="1"/>
  <c r="B19" i="8"/>
  <c r="B21" i="8" s="1"/>
  <c r="B19" i="37"/>
  <c r="B21" i="37" s="1"/>
  <c r="B19" i="46"/>
  <c r="B21" i="46" s="1"/>
  <c r="C22" i="46" s="1"/>
  <c r="B19" i="24"/>
  <c r="B21" i="24" s="1"/>
  <c r="B19" i="35"/>
  <c r="B21" i="35" s="1"/>
  <c r="B19" i="27"/>
  <c r="B21" i="27" s="1"/>
  <c r="B19" i="22"/>
  <c r="B21" i="22" s="1"/>
  <c r="B19" i="19"/>
  <c r="B21" i="19" s="1"/>
  <c r="B19" i="23"/>
  <c r="B21" i="23" s="1"/>
  <c r="L21" i="15"/>
  <c r="K21" i="15"/>
  <c r="J21" i="15"/>
  <c r="I21" i="15"/>
  <c r="G21" i="15"/>
  <c r="F21" i="15"/>
  <c r="E21" i="15"/>
  <c r="B19" i="15"/>
  <c r="B21" i="15" s="1"/>
  <c r="M21" i="3"/>
  <c r="L21" i="3"/>
  <c r="K21" i="3"/>
  <c r="J21" i="3"/>
  <c r="H21" i="3"/>
  <c r="G21" i="3"/>
  <c r="F21" i="3"/>
  <c r="F22" i="3" s="1"/>
  <c r="E21" i="3"/>
  <c r="B21" i="3"/>
  <c r="B19" i="16"/>
  <c r="B21" i="16" s="1"/>
  <c r="B19" i="17"/>
  <c r="B21" i="17" s="1"/>
  <c r="B19" i="14"/>
  <c r="B21" i="14" s="1"/>
  <c r="C22" i="14" s="1"/>
  <c r="B21" i="9"/>
  <c r="B22" i="9" s="1"/>
  <c r="B19" i="12"/>
  <c r="B21" i="12" s="1"/>
  <c r="B19" i="7"/>
  <c r="B21" i="7" s="1"/>
  <c r="B19" i="5"/>
  <c r="B21" i="5" s="1"/>
  <c r="B19" i="2"/>
  <c r="B21" i="2" s="1"/>
  <c r="B19" i="29"/>
  <c r="B21" i="29" s="1"/>
  <c r="I22" i="3" l="1"/>
  <c r="H22" i="3"/>
  <c r="H22" i="29"/>
  <c r="G22" i="29"/>
  <c r="F22" i="29"/>
  <c r="E22" i="29"/>
  <c r="D22" i="29"/>
  <c r="C22" i="29"/>
  <c r="E22" i="2"/>
  <c r="G22" i="2"/>
  <c r="F22" i="2"/>
  <c r="D22" i="2"/>
  <c r="C22" i="2"/>
  <c r="B22" i="23"/>
  <c r="B22" i="24"/>
  <c r="B22" i="8"/>
  <c r="B22" i="15"/>
  <c r="B22" i="19"/>
  <c r="B22" i="12"/>
  <c r="B22" i="27"/>
  <c r="B22" i="35"/>
  <c r="B19" i="20"/>
  <c r="B21" i="20" s="1"/>
  <c r="B22" i="2"/>
  <c r="B22" i="17"/>
  <c r="B22" i="4"/>
  <c r="B22" i="14"/>
  <c r="B22" i="16"/>
  <c r="B22" i="5"/>
  <c r="B22" i="22"/>
  <c r="B22" i="46"/>
  <c r="B22" i="29"/>
  <c r="E22" i="20" l="1"/>
  <c r="D22" i="20"/>
  <c r="C22" i="20"/>
  <c r="B22" i="20"/>
  <c r="B22" i="45" l="1"/>
</calcChain>
</file>

<file path=xl/sharedStrings.xml><?xml version="1.0" encoding="utf-8"?>
<sst xmlns="http://schemas.openxmlformats.org/spreadsheetml/2006/main" count="1384" uniqueCount="82">
  <si>
    <t>DESCRIÇÃO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</si>
  <si>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</si>
  <si>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</si>
  <si>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</si>
  <si>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</si>
  <si>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</si>
  <si>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</si>
  <si>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</si>
  <si>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</si>
  <si>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</si>
  <si>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</si>
  <si>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</si>
  <si>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MÉDIA MENSAL DE GASTOS</t>
  </si>
  <si>
    <t>MÉDIA MENSAL ACUMULADO  DE GASTOS</t>
  </si>
  <si>
    <t>RECURSOS PRÓPRIOS E/OU GLOSA</t>
  </si>
  <si>
    <t>VERBA INDENIZATÓRIA PAGA NO MÊS</t>
  </si>
  <si>
    <t>AGO</t>
  </si>
  <si>
    <t xml:space="preserve"> </t>
  </si>
  <si>
    <t xml:space="preserve">            </t>
  </si>
  <si>
    <t>PORTAL DA TRANSPARÊNCIA DA CÂMARA MUNICIPAL DO RECIFE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</si>
  <si>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</si>
  <si>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</si>
  <si>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</si>
  <si>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</si>
  <si>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</si>
  <si>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</si>
  <si>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</si>
  <si>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</si>
  <si>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</si>
  <si>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</si>
  <si>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</si>
  <si>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</si>
  <si>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</si>
  <si>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</si>
  <si>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</si>
  <si>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>NPC</t>
  </si>
  <si>
    <t>NPC = NÃO PRESTOU CONTAS</t>
  </si>
  <si>
    <t xml:space="preserve">  </t>
  </si>
  <si>
    <t xml:space="preserve">     </t>
  </si>
  <si>
    <t>.</t>
  </si>
  <si>
    <t xml:space="preserve">                                                     </t>
  </si>
  <si>
    <t>VEREADOR Aderaldo de Oliveira  - DEMONSTRATIVO DA VERBA INDENIZATORIA 2018</t>
  </si>
  <si>
    <t>VEREADOR Ivan Moraes - DEMONSTRATIVO DA VERBA INDENIZATORIA 2018</t>
  </si>
  <si>
    <t>VEREADOR Ricardo Cruz- DEMONSTRATIVO DA VERBA INDENIZATORIA 2018</t>
  </si>
  <si>
    <t>VEREADOR Marília Arraes- DEMONSTRATIVO DA VERBA INDENIZATORIA 2018</t>
  </si>
  <si>
    <t>VEREADOR Felipe Francismar- DEMONSTRATIVO DA VERBA INDENIZATORIA 2018</t>
  </si>
  <si>
    <t>VEREADOR Jairo Britto - DEMONSTRATIVO DA VERBA INDENIZATORIA 2018</t>
  </si>
  <si>
    <t>VEREADOR Marcos di Bria - DEMONSTRATIVO DA VERBA INDENIZATORIA 2018</t>
  </si>
  <si>
    <t>VEREADOR Rodrigo Coutinho - DEMONSTRATIVO DA VERBA INDENIZATORIA 2018</t>
  </si>
  <si>
    <t>VEREADOR Daize Michelle- DEMONSTRATIVO DA VERBA INDENIZATORIA 2018</t>
  </si>
  <si>
    <t>VEREADOR Marco Aurélio - DEMONSTRATIVO DA VERBA INDENIZATORIA 2018</t>
  </si>
  <si>
    <t xml:space="preserve">      </t>
  </si>
  <si>
    <t>VEREADOR André Régis - DEMONSTRATIVO DA VERBA INDENIZATORIA 2018</t>
  </si>
  <si>
    <t>VEREADOR Antônio Luiz Neto - DEMONSTRATIVO DA VERBA INDENIZATORIA 2018</t>
  </si>
  <si>
    <t>VEREADOR Rafael Acioli - DEMONSTRATIVO DA VERBA INDENIZATORIA 2018</t>
  </si>
  <si>
    <t>VEREADOR Aerto Luna - DEMONSTRATIVO DA VERBA INDENIZATORIA 2018</t>
  </si>
  <si>
    <t>VEREADOR Aline Mariano - DEMONSTRATIVO DA VERBA INDENIZATORIA 2018</t>
  </si>
  <si>
    <t>VEREADOR Romerinho Jatobá - DEMONSTRATIVO DA VERBA INDENIZATORIA 2018</t>
  </si>
  <si>
    <t>VEREADOR Fred Ferreira - DEMONSTRATIVO DA VERBA INDENIZATORIA 2018</t>
  </si>
  <si>
    <t>VEREADOR Davi Muniz- DEMONSTRATIVO DA VERBA INDENIZATORIA 2018</t>
  </si>
  <si>
    <t>VEREADOR Júnior Bocão - DEMONSTRATIVO DA VERBA INDENIZATORIA 2018</t>
  </si>
  <si>
    <t>VEREADOR Aimée Silva - DEMONSTRATIVO DA VERBA INDENIZATORIA 2018</t>
  </si>
  <si>
    <t>VEREADOR Amaro Cipriano - DEMONSTRATIVO DA VERBA INDENIZATORIA 2018</t>
  </si>
  <si>
    <t>VEREADOR Almir Fernando - DEMONSTRATIVO DA VERBA INDENIZATORIA 2018</t>
  </si>
  <si>
    <t>VEREADOR Alcides Teixeira Neto - DEMONSTRATIVO DA VERBA INDENIZATORIA 2018</t>
  </si>
  <si>
    <t>VEREADOR Ana Lúcia - DEMONSTRATIVO DA VERBA INDENIZATORIA 2018</t>
  </si>
  <si>
    <t>VEREADOR Hélio Guabiraba - DEMONSTRATIVO DA VERBA INDENIZATORIA 2018</t>
  </si>
  <si>
    <t>VEREADOR Chico Kiko - DEMONSTRATIVO DA VERBA INDENIZATORIA 2018</t>
  </si>
  <si>
    <t>VEREADOR Eduardo Pereira - DEMONSTRATIVO DA VERBA INDENIZATORIA 2018</t>
  </si>
  <si>
    <t>VEREADOR Natália de Menudo - DEMONSTRATIVO DA VERBA INDENIZATORIA 2018</t>
  </si>
  <si>
    <t>VEREADOR Augusto Carreras - DEMONSTRATIVO DA VERBA INDENIZATORIA 2018</t>
  </si>
  <si>
    <t>VEREADOR  Benjamin da Saúde - DEMONSTRATIVO DA VERBA INDENIZATORIA 2018</t>
  </si>
  <si>
    <t>VEREADOR Carlos Gueiros - DEMONSTRATIVO DA VERBA INDENIZATORIA 2018</t>
  </si>
  <si>
    <t>VEREADOR Eduardo Marques - DEMONSTRATIVO DA VERBA INDENIZATORIA 2018</t>
  </si>
  <si>
    <t xml:space="preserve">VEREADOR Gilberto Alves - DEMONSTRATIVO DA VERBA INDENIZATORIA 2018       </t>
  </si>
  <si>
    <t>VEREADOR Rinaldo Júnior - DEMONSTRATIVO DA VERBA INDENIZATORIA 2018</t>
  </si>
  <si>
    <t>VEREADOR Renato Antunes - DEMONSTRATIVO DA VERBA INDENIZATORIA 2018</t>
  </si>
  <si>
    <t>VEREADOR Rogério di Lucca - DEMONSTRATIVO DA VERBA INDENIZATORIA 2018</t>
  </si>
  <si>
    <t>VEREADOR Romero Albuquerque - DEMONSTRATIVO DA VERBA INDENIZATORIA 2018</t>
  </si>
  <si>
    <t>VEREADOR Wanderson Sobral - DEMONSTRATIVO DA VERBA INDENIZATORIA 2018</t>
  </si>
  <si>
    <t xml:space="preserve">                                                                                                                                                                    </t>
  </si>
  <si>
    <t xml:space="preserve">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</si>
</sst>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0" fontId="3" fillId="0" borderId="1" xfId="0" applyNumberFormat="1" applyFont="1" applyFill="1" applyBorder="1" applyAlignment="1">
      <alignment horizontal="justify" vertical="top" wrapText="1"/>
    </xf>
    <xf numFmtId="0" fontId="3" fillId="0" borderId="2" xfId="0" applyNumberFormat="1" applyFont="1" applyFill="1" applyBorder="1" applyAlignment="1">
      <alignment horizontal="justify" vertical="top" wrapText="1"/>
    </xf>
    <xf numFmtId="43" fontId="3" fillId="0" borderId="2" xfId="1" applyFont="1" applyFill="1" applyBorder="1" applyAlignment="1">
      <alignment horizontal="justify" vertical="top" wrapText="1"/>
    </xf>
    <xf numFmtId="43" fontId="5" fillId="0" borderId="0" xfId="1" applyFont="1" applyAlignment="1">
      <alignment horizontal="center"/>
    </xf>
    <xf numFmtId="43" fontId="5" fillId="0" borderId="0" xfId="1" applyFont="1"/>
    <xf numFmtId="0" fontId="8" fillId="2" borderId="0" xfId="0" applyFont="1" applyFill="1"/>
    <xf numFmtId="0" fontId="9" fillId="0" borderId="0" xfId="0" applyFont="1"/>
    <xf numFmtId="0" fontId="3" fillId="0" borderId="7" xfId="0" applyNumberFormat="1" applyFont="1" applyFill="1" applyBorder="1" applyAlignment="1">
      <alignment horizontal="justify" vertical="top" wrapText="1"/>
    </xf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43" fontId="8" fillId="2" borderId="0" xfId="0" applyNumberFormat="1" applyFont="1" applyFill="1"/>
    <xf numFmtId="43" fontId="8" fillId="0" borderId="0" xfId="0" applyNumberFormat="1" applyFont="1" applyFill="1"/>
    <xf numFmtId="43" fontId="7" fillId="0" borderId="0" xfId="0" applyNumberFormat="1" applyFont="1" applyFill="1"/>
    <xf numFmtId="0" fontId="10" fillId="3" borderId="5" xfId="0" applyFont="1" applyFill="1" applyBorder="1"/>
    <xf numFmtId="43" fontId="10" fillId="3" borderId="5" xfId="1" applyFont="1" applyFill="1" applyBorder="1" applyAlignment="1">
      <alignment horizontal="center"/>
    </xf>
    <xf numFmtId="43" fontId="11" fillId="0" borderId="6" xfId="1" applyFont="1" applyFill="1" applyBorder="1" applyAlignment="1">
      <alignment horizontal="center"/>
    </xf>
    <xf numFmtId="43" fontId="3" fillId="0" borderId="4" xfId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 vertical="top" wrapText="1" indent="1"/>
    </xf>
    <xf numFmtId="43" fontId="3" fillId="0" borderId="3" xfId="1" applyFont="1" applyFill="1" applyBorder="1" applyAlignment="1">
      <alignment horizontal="center"/>
    </xf>
    <xf numFmtId="43" fontId="3" fillId="0" borderId="3" xfId="1" applyFont="1" applyFill="1" applyBorder="1"/>
    <xf numFmtId="4" fontId="3" fillId="0" borderId="3" xfId="1" applyNumberFormat="1" applyFont="1" applyFill="1" applyBorder="1"/>
    <xf numFmtId="43" fontId="3" fillId="0" borderId="9" xfId="1" applyFont="1" applyFill="1" applyBorder="1" applyAlignment="1">
      <alignment horizontal="center"/>
    </xf>
    <xf numFmtId="0" fontId="10" fillId="0" borderId="5" xfId="0" applyFont="1" applyFill="1" applyBorder="1"/>
    <xf numFmtId="43" fontId="11" fillId="2" borderId="4" xfId="1" applyFont="1" applyFill="1" applyBorder="1" applyAlignment="1">
      <alignment horizontal="center"/>
    </xf>
    <xf numFmtId="0" fontId="10" fillId="0" borderId="10" xfId="0" applyFont="1" applyFill="1" applyBorder="1"/>
    <xf numFmtId="43" fontId="11" fillId="2" borderId="8" xfId="1" applyFont="1" applyFill="1" applyBorder="1" applyAlignment="1">
      <alignment horizontal="center"/>
    </xf>
    <xf numFmtId="43" fontId="11" fillId="0" borderId="8" xfId="1" applyFont="1" applyFill="1" applyBorder="1" applyAlignment="1">
      <alignment horizontal="center"/>
    </xf>
    <xf numFmtId="43" fontId="11" fillId="0" borderId="8" xfId="1" applyFont="1" applyFill="1" applyBorder="1"/>
    <xf numFmtId="2" fontId="11" fillId="0" borderId="8" xfId="1" applyNumberFormat="1" applyFont="1" applyFill="1" applyBorder="1"/>
    <xf numFmtId="0" fontId="10" fillId="0" borderId="0" xfId="0" applyFont="1" applyFill="1" applyBorder="1"/>
    <xf numFmtId="0" fontId="7" fillId="2" borderId="14" xfId="0" applyFont="1" applyFill="1" applyBorder="1"/>
    <xf numFmtId="43" fontId="3" fillId="0" borderId="6" xfId="1" applyFont="1" applyFill="1" applyBorder="1" applyAlignment="1">
      <alignment horizontal="center"/>
    </xf>
    <xf numFmtId="43" fontId="11" fillId="3" borderId="5" xfId="1" applyFont="1" applyFill="1" applyBorder="1" applyAlignment="1">
      <alignment horizontal="center"/>
    </xf>
    <xf numFmtId="0" fontId="7" fillId="0" borderId="3" xfId="0" applyFont="1" applyFill="1" applyBorder="1"/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2" fillId="0" borderId="4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43" fontId="12" fillId="0" borderId="4" xfId="1" applyFont="1" applyFill="1" applyBorder="1" applyAlignment="1">
      <alignment horizontal="center"/>
    </xf>
    <xf numFmtId="43" fontId="12" fillId="0" borderId="3" xfId="1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opLeftCell="A4" zoomScaleNormal="100" workbookViewId="0">
      <selection activeCell="I27" sqref="I27"/>
    </sheetView>
  </sheetViews>
  <sheetFormatPr defaultRowHeight="12.75" x14ac:dyDescent="0.2"/>
  <cols>
    <col min="1" max="1" width="44" style="21" customWidth="1"/>
    <col min="2" max="2" width="9.85546875" style="15" customWidth="1"/>
    <col min="3" max="3" width="9.28515625" style="15" customWidth="1"/>
    <col min="4" max="4" width="9.140625" style="16" customWidth="1"/>
    <col min="5" max="5" width="9" style="16" bestFit="1" customWidth="1"/>
    <col min="6" max="7" width="8.85546875" style="16" customWidth="1"/>
    <col min="8" max="8" width="9" style="16" customWidth="1"/>
    <col min="9" max="9" width="9" style="16" bestFit="1" customWidth="1"/>
    <col min="10" max="10" width="9.5703125" style="16" customWidth="1"/>
    <col min="11" max="11" width="10.28515625" style="16" customWidth="1"/>
    <col min="12" max="12" width="9.140625" style="16" customWidth="1"/>
    <col min="13" max="13" width="10.28515625" style="16" customWidth="1"/>
    <col min="14" max="16384" width="9.140625" style="18"/>
  </cols>
  <sheetData>
    <row r="1" spans="1:14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4" ht="21.75" thickBot="1" x14ac:dyDescent="0.25">
      <c r="A2" s="48" t="s">
        <v>41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4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4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4" x14ac:dyDescent="0.2">
      <c r="A5" s="7" t="s">
        <v>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4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4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 ht="25.5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>
        <v>4350</v>
      </c>
      <c r="C12" s="32">
        <v>4060</v>
      </c>
      <c r="D12" s="32">
        <v>4495</v>
      </c>
      <c r="E12" s="30">
        <v>4350</v>
      </c>
      <c r="F12" s="30">
        <v>4495</v>
      </c>
      <c r="G12" s="33">
        <v>4350</v>
      </c>
      <c r="H12" s="33">
        <v>4495</v>
      </c>
      <c r="I12" s="34">
        <v>4495</v>
      </c>
      <c r="J12" s="33"/>
      <c r="K12" s="33"/>
      <c r="L12" s="33"/>
      <c r="M12" s="33"/>
    </row>
    <row r="13" spans="1:14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4" s="22" customFormat="1" ht="25.5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0</v>
      </c>
      <c r="C15" s="32"/>
      <c r="D15" s="32">
        <v>352.04</v>
      </c>
      <c r="E15" s="30" t="s">
        <v>37</v>
      </c>
      <c r="F15" s="32"/>
      <c r="G15" s="32">
        <v>253.42</v>
      </c>
      <c r="H15" s="32"/>
      <c r="I15" s="32"/>
      <c r="J15" s="32"/>
      <c r="K15" s="32"/>
      <c r="L15" s="32"/>
      <c r="M15" s="32"/>
    </row>
    <row r="16" spans="1:14" s="20" customFormat="1" ht="25.5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  <c r="N16" s="6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>
        <v>617</v>
      </c>
      <c r="D18" s="35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I19" si="0">SUM(B5:B18)</f>
        <v>4350</v>
      </c>
      <c r="C19" s="28">
        <f t="shared" si="0"/>
        <v>4677</v>
      </c>
      <c r="D19" s="28">
        <f t="shared" si="0"/>
        <v>4847.04</v>
      </c>
      <c r="E19" s="28">
        <f t="shared" si="0"/>
        <v>4350</v>
      </c>
      <c r="F19" s="28">
        <f t="shared" si="0"/>
        <v>4495</v>
      </c>
      <c r="G19" s="28">
        <f t="shared" si="0"/>
        <v>4603.42</v>
      </c>
      <c r="H19" s="28">
        <f t="shared" si="0"/>
        <v>4495</v>
      </c>
      <c r="I19" s="28">
        <f t="shared" si="0"/>
        <v>4495</v>
      </c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>
        <v>77</v>
      </c>
      <c r="D20" s="32">
        <v>247.04</v>
      </c>
      <c r="E20" s="32"/>
      <c r="F20" s="32"/>
      <c r="G20" s="32">
        <v>3.42</v>
      </c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I21" si="1">B19-B20</f>
        <v>4350</v>
      </c>
      <c r="C21" s="28">
        <f t="shared" si="1"/>
        <v>4600</v>
      </c>
      <c r="D21" s="28">
        <f t="shared" si="1"/>
        <v>4600</v>
      </c>
      <c r="E21" s="28">
        <f t="shared" si="1"/>
        <v>4350</v>
      </c>
      <c r="F21" s="28">
        <f t="shared" si="1"/>
        <v>4495</v>
      </c>
      <c r="G21" s="28">
        <f t="shared" si="1"/>
        <v>4600</v>
      </c>
      <c r="H21" s="28">
        <f t="shared" si="1"/>
        <v>4495</v>
      </c>
      <c r="I21" s="28">
        <f t="shared" si="1"/>
        <v>4495</v>
      </c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4350</v>
      </c>
      <c r="C22" s="37">
        <f>AVERAGE($B21:C21)</f>
        <v>4475</v>
      </c>
      <c r="D22" s="37">
        <f>AVERAGE($B21:D21)</f>
        <v>4516.666666666667</v>
      </c>
      <c r="E22" s="37">
        <f>AVERAGE($B21:E21)</f>
        <v>4475</v>
      </c>
      <c r="F22" s="37">
        <f>AVERAGE($B21:F21)</f>
        <v>4479</v>
      </c>
      <c r="G22" s="37">
        <f>AVERAGE($B21:G21)</f>
        <v>4499.166666666667</v>
      </c>
      <c r="H22" s="37">
        <f>AVERAGE($B21:H21)</f>
        <v>4498.5714285714284</v>
      </c>
      <c r="I22" s="37">
        <f>AVERAGE($B21:I21)</f>
        <v>4498.125</v>
      </c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O16" sqref="O16"/>
    </sheetView>
  </sheetViews>
  <sheetFormatPr defaultRowHeight="12.75" x14ac:dyDescent="0.2"/>
  <cols>
    <col min="1" max="1" width="51" style="2" customWidth="1"/>
    <col min="2" max="3" width="9" style="10" bestFit="1" customWidth="1"/>
    <col min="4" max="13" width="9" style="11" bestFit="1" customWidth="1"/>
    <col min="14" max="16384" width="9.140625" style="4"/>
  </cols>
  <sheetData>
    <row r="1" spans="1:13" s="1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53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6" customFormat="1" x14ac:dyDescent="0.2">
      <c r="A12" s="8" t="s">
        <v>27</v>
      </c>
      <c r="B12" s="32">
        <v>3720</v>
      </c>
      <c r="C12" s="32">
        <v>3360</v>
      </c>
      <c r="D12" s="33">
        <v>3720</v>
      </c>
      <c r="E12" s="33">
        <v>3600</v>
      </c>
      <c r="F12" s="33">
        <v>3720</v>
      </c>
      <c r="G12" s="33"/>
      <c r="H12" s="33"/>
      <c r="I12" s="34"/>
      <c r="J12" s="33"/>
      <c r="K12" s="33"/>
      <c r="L12" s="33"/>
      <c r="M12" s="33"/>
    </row>
    <row r="13" spans="1:13" s="12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0">
        <v>880</v>
      </c>
      <c r="C15" s="30">
        <v>886.6</v>
      </c>
      <c r="D15" s="30"/>
      <c r="E15" s="30">
        <v>1014.6</v>
      </c>
      <c r="F15" s="30">
        <v>884.45</v>
      </c>
      <c r="G15" s="32"/>
      <c r="H15" s="32"/>
      <c r="I15" s="32"/>
      <c r="J15" s="32"/>
      <c r="K15" s="32"/>
      <c r="L15" s="32"/>
      <c r="M15" s="32"/>
    </row>
    <row r="16" spans="1:13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>
        <v>885</v>
      </c>
      <c r="E18" s="32"/>
      <c r="F18" s="30"/>
      <c r="G18" s="32">
        <v>3260</v>
      </c>
      <c r="H18" s="32"/>
      <c r="I18" s="32">
        <v>2030</v>
      </c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G19" si="0">SUM(B5:B18)</f>
        <v>4600</v>
      </c>
      <c r="C19" s="28">
        <f t="shared" si="0"/>
        <v>4246.6000000000004</v>
      </c>
      <c r="D19" s="28">
        <f t="shared" si="0"/>
        <v>4605</v>
      </c>
      <c r="E19" s="28">
        <f t="shared" si="0"/>
        <v>4614.6000000000004</v>
      </c>
      <c r="F19" s="28">
        <f t="shared" si="0"/>
        <v>4604.45</v>
      </c>
      <c r="G19" s="28">
        <f t="shared" si="0"/>
        <v>3260</v>
      </c>
      <c r="H19" s="28" t="s">
        <v>35</v>
      </c>
      <c r="I19" s="28">
        <f>SUM(I5:I18)</f>
        <v>2030</v>
      </c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>
        <v>5</v>
      </c>
      <c r="E20" s="32">
        <v>14.6</v>
      </c>
      <c r="F20" s="32">
        <v>4.45</v>
      </c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G21" si="1">B19-B20</f>
        <v>4600</v>
      </c>
      <c r="C21" s="28">
        <f t="shared" si="1"/>
        <v>4246.6000000000004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3260</v>
      </c>
      <c r="H21" s="28">
        <v>0</v>
      </c>
      <c r="I21" s="28">
        <f>I19-I20</f>
        <v>2030</v>
      </c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4423.3</v>
      </c>
      <c r="D22" s="37">
        <f>AVERAGE($B21:D21)</f>
        <v>4482.2</v>
      </c>
      <c r="E22" s="37">
        <f>AVERAGE($B21:E21)</f>
        <v>4511.6499999999996</v>
      </c>
      <c r="F22" s="37">
        <f>AVERAGE($B21:F21)</f>
        <v>4529.32</v>
      </c>
      <c r="G22" s="37">
        <f>AVERAGE($B21:G21)</f>
        <v>4317.7666666666664</v>
      </c>
      <c r="H22" s="37">
        <f>AVERAGE($B21:H21)</f>
        <v>3700.9428571428571</v>
      </c>
      <c r="I22" s="37">
        <f>AVERAGE($B21:I21)</f>
        <v>3492.0749999999998</v>
      </c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 t="s">
        <v>80</v>
      </c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I23" sqref="I23"/>
    </sheetView>
  </sheetViews>
  <sheetFormatPr defaultRowHeight="12.75" x14ac:dyDescent="0.2"/>
  <cols>
    <col min="1" max="1" width="57.42578125" style="2" customWidth="1"/>
    <col min="2" max="2" width="9.28515625" style="10" customWidth="1"/>
    <col min="3" max="3" width="10" style="10" customWidth="1"/>
    <col min="4" max="4" width="9.28515625" style="11" customWidth="1"/>
    <col min="5" max="5" width="10.28515625" style="11" bestFit="1" customWidth="1"/>
    <col min="6" max="7" width="9" style="11" bestFit="1" customWidth="1"/>
    <col min="8" max="9" width="8.7109375" style="11" customWidth="1"/>
    <col min="10" max="10" width="8.85546875" style="11" customWidth="1"/>
    <col min="11" max="11" width="9.28515625" style="11" customWidth="1"/>
    <col min="12" max="12" width="9" style="11" customWidth="1"/>
    <col min="13" max="13" width="8.7109375" style="11" customWidth="1"/>
    <col min="14" max="16384" width="9.140625" style="4"/>
  </cols>
  <sheetData>
    <row r="1" spans="1:13" s="1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70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5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/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12" customFormat="1" x14ac:dyDescent="0.2">
      <c r="A12" s="8" t="s">
        <v>27</v>
      </c>
      <c r="B12" s="32"/>
      <c r="C12" s="32">
        <v>4200</v>
      </c>
      <c r="D12" s="33">
        <v>4200</v>
      </c>
      <c r="E12" s="33">
        <v>4200</v>
      </c>
      <c r="F12" s="33">
        <v>4200</v>
      </c>
      <c r="G12" s="33">
        <v>4200</v>
      </c>
      <c r="H12" s="33">
        <v>4200</v>
      </c>
      <c r="I12" s="34">
        <v>4200</v>
      </c>
      <c r="J12" s="33"/>
      <c r="K12" s="33"/>
      <c r="L12" s="33"/>
      <c r="M12" s="33"/>
    </row>
    <row r="13" spans="1:13" s="6" customFormat="1" x14ac:dyDescent="0.2">
      <c r="A13" s="8" t="s">
        <v>28</v>
      </c>
      <c r="B13" s="32"/>
      <c r="C13" s="32"/>
      <c r="D13" s="32"/>
      <c r="E13" s="32"/>
      <c r="F13" s="32"/>
      <c r="G13" s="33"/>
      <c r="H13" s="33"/>
      <c r="I13" s="33"/>
      <c r="J13" s="33"/>
      <c r="K13" s="33"/>
      <c r="L13" s="33"/>
      <c r="M13" s="33"/>
    </row>
    <row r="14" spans="1:13" s="12" customFormat="1" x14ac:dyDescent="0.2">
      <c r="A14" s="8" t="s">
        <v>29</v>
      </c>
      <c r="B14" s="32"/>
      <c r="C14" s="32"/>
      <c r="D14" s="32"/>
      <c r="E14" s="32"/>
      <c r="F14" s="32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3" s="6" customFormat="1" ht="25.5" x14ac:dyDescent="0.2">
      <c r="A16" s="8" t="s">
        <v>31</v>
      </c>
      <c r="B16" s="32"/>
      <c r="C16" s="32"/>
      <c r="D16" s="32"/>
      <c r="E16" s="32"/>
      <c r="F16" s="32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/>
      <c r="C17" s="32"/>
      <c r="D17" s="32"/>
      <c r="E17" s="32"/>
      <c r="F17" s="32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5"/>
      <c r="D18" s="35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>
        <f t="shared" ref="C19:I19" si="0">SUM(C5:C18)</f>
        <v>4200</v>
      </c>
      <c r="D19" s="28">
        <f t="shared" si="0"/>
        <v>4200</v>
      </c>
      <c r="E19" s="28">
        <f t="shared" si="0"/>
        <v>4200</v>
      </c>
      <c r="F19" s="28">
        <f t="shared" si="0"/>
        <v>4200</v>
      </c>
      <c r="G19" s="28">
        <f t="shared" si="0"/>
        <v>4200</v>
      </c>
      <c r="H19" s="28">
        <f t="shared" si="0"/>
        <v>4200</v>
      </c>
      <c r="I19" s="28">
        <f t="shared" si="0"/>
        <v>4200</v>
      </c>
      <c r="J19" s="28"/>
      <c r="K19" s="28"/>
      <c r="L19" s="28"/>
      <c r="M19" s="28"/>
    </row>
    <row r="20" spans="1:13" ht="13.5" thickBot="1" x14ac:dyDescent="0.25">
      <c r="A20" s="36" t="s">
        <v>14</v>
      </c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 t="s">
        <v>35</v>
      </c>
      <c r="C21" s="28">
        <f t="shared" ref="C21:I21" si="1">C19-C20</f>
        <v>4200</v>
      </c>
      <c r="D21" s="28">
        <f t="shared" si="1"/>
        <v>4200</v>
      </c>
      <c r="E21" s="28">
        <f t="shared" si="1"/>
        <v>4200</v>
      </c>
      <c r="F21" s="28">
        <f t="shared" si="1"/>
        <v>4200</v>
      </c>
      <c r="G21" s="28">
        <f t="shared" si="1"/>
        <v>4200</v>
      </c>
      <c r="H21" s="28">
        <f t="shared" si="1"/>
        <v>4200</v>
      </c>
      <c r="I21" s="28">
        <f t="shared" si="1"/>
        <v>4200</v>
      </c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v>0</v>
      </c>
      <c r="C22" s="37">
        <f>AVERAGE($B21:C21)</f>
        <v>4200</v>
      </c>
      <c r="D22" s="37">
        <f>AVERAGE($B21:D21)</f>
        <v>4200</v>
      </c>
      <c r="E22" s="37">
        <f>AVERAGE($B21:E21)</f>
        <v>4200</v>
      </c>
      <c r="F22" s="37">
        <f>AVERAGE($B21:F21)</f>
        <v>4200</v>
      </c>
      <c r="G22" s="37">
        <f>AVERAGE($B21:G21)</f>
        <v>4200</v>
      </c>
      <c r="H22" s="37">
        <f>AVERAGE($B21:H21)</f>
        <v>4200</v>
      </c>
      <c r="I22" s="37">
        <f>AVERAGE($B21:I21)</f>
        <v>4200</v>
      </c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I27" sqref="I27"/>
    </sheetView>
  </sheetViews>
  <sheetFormatPr defaultRowHeight="12.75" x14ac:dyDescent="0.2"/>
  <cols>
    <col min="1" max="1" width="59.140625" style="21" customWidth="1"/>
    <col min="2" max="3" width="9" style="15" bestFit="1" customWidth="1"/>
    <col min="4" max="9" width="9" style="16" bestFit="1" customWidth="1"/>
    <col min="10" max="10" width="9.42578125" style="16" customWidth="1"/>
    <col min="11" max="11" width="9" style="16" customWidth="1"/>
    <col min="12" max="13" width="9" style="16" bestFit="1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71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2500</v>
      </c>
      <c r="C5" s="30">
        <v>2500</v>
      </c>
      <c r="D5" s="30">
        <v>2500</v>
      </c>
      <c r="E5" s="30">
        <v>2500</v>
      </c>
      <c r="F5" s="30">
        <v>2500</v>
      </c>
      <c r="G5" s="30">
        <v>2500</v>
      </c>
      <c r="H5" s="30">
        <v>2500</v>
      </c>
      <c r="I5" s="30">
        <v>2500</v>
      </c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592.32000000000005</v>
      </c>
      <c r="C7" s="30">
        <v>363.29</v>
      </c>
      <c r="D7" s="30">
        <v>461.07</v>
      </c>
      <c r="E7" s="30">
        <v>596.59</v>
      </c>
      <c r="F7" s="30">
        <v>493.47</v>
      </c>
      <c r="G7" s="30">
        <v>586.16999999999996</v>
      </c>
      <c r="H7" s="30">
        <v>117.41</v>
      </c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42</v>
      </c>
      <c r="C8" s="30">
        <v>40.18</v>
      </c>
      <c r="D8" s="30">
        <v>41.6</v>
      </c>
      <c r="E8" s="30">
        <v>41.3</v>
      </c>
      <c r="F8" s="30">
        <v>42.3</v>
      </c>
      <c r="G8" s="30"/>
      <c r="H8" s="30">
        <v>41.18</v>
      </c>
      <c r="I8" s="30">
        <v>43.12</v>
      </c>
      <c r="J8" s="30"/>
      <c r="K8" s="30"/>
      <c r="L8" s="30"/>
      <c r="M8" s="30"/>
    </row>
    <row r="9" spans="1:13" x14ac:dyDescent="0.2">
      <c r="A9" s="31" t="s">
        <v>24</v>
      </c>
      <c r="B9" s="30">
        <v>549.9</v>
      </c>
      <c r="C9" s="30">
        <v>549.9</v>
      </c>
      <c r="D9" s="30">
        <v>549.9</v>
      </c>
      <c r="E9" s="30">
        <v>549.9</v>
      </c>
      <c r="F9" s="30">
        <f>549.9+435.42</f>
        <v>985.31999999999994</v>
      </c>
      <c r="G9" s="30">
        <v>549.9</v>
      </c>
      <c r="H9" s="30">
        <v>549.9</v>
      </c>
      <c r="I9" s="30">
        <v>549.9</v>
      </c>
      <c r="J9" s="30"/>
      <c r="K9" s="30"/>
      <c r="L9" s="30"/>
      <c r="M9" s="30"/>
    </row>
    <row r="10" spans="1:13" x14ac:dyDescent="0.2">
      <c r="A10" s="31" t="s">
        <v>25</v>
      </c>
      <c r="B10" s="30">
        <v>283.35000000000002</v>
      </c>
      <c r="C10" s="30">
        <v>338.38</v>
      </c>
      <c r="D10" s="30">
        <v>339.21</v>
      </c>
      <c r="E10" s="30">
        <v>329.81</v>
      </c>
      <c r="F10" s="30">
        <v>354.26</v>
      </c>
      <c r="G10" s="30">
        <v>496.2</v>
      </c>
      <c r="H10" s="30">
        <v>351.11</v>
      </c>
      <c r="I10" s="30">
        <v>406.44</v>
      </c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2">
        <v>0</v>
      </c>
      <c r="C12" s="32"/>
      <c r="D12" s="32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>
        <v>107.5</v>
      </c>
      <c r="D15" s="32">
        <f>199.5+99.5</f>
        <v>299</v>
      </c>
      <c r="E15" s="32">
        <v>99.6</v>
      </c>
      <c r="F15" s="32">
        <v>99.2</v>
      </c>
      <c r="G15" s="32"/>
      <c r="H15" s="32">
        <v>88</v>
      </c>
      <c r="I15" s="32">
        <f>88+88</f>
        <v>176</v>
      </c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3"/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650</v>
      </c>
      <c r="C18" s="35">
        <v>700</v>
      </c>
      <c r="D18" s="35"/>
      <c r="E18" s="32"/>
      <c r="F18" s="32"/>
      <c r="G18" s="32"/>
      <c r="H18" s="32">
        <v>450</v>
      </c>
      <c r="I18" s="32">
        <v>400</v>
      </c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I19" si="0">SUM(B5:B18)</f>
        <v>4617.57</v>
      </c>
      <c r="C19" s="28">
        <f t="shared" si="0"/>
        <v>4599.25</v>
      </c>
      <c r="D19" s="28">
        <f t="shared" si="0"/>
        <v>4190.7800000000007</v>
      </c>
      <c r="E19" s="28">
        <f t="shared" si="0"/>
        <v>4117.2000000000007</v>
      </c>
      <c r="F19" s="28">
        <f t="shared" si="0"/>
        <v>4474.55</v>
      </c>
      <c r="G19" s="28">
        <f t="shared" si="0"/>
        <v>4132.2700000000004</v>
      </c>
      <c r="H19" s="28">
        <f t="shared" si="0"/>
        <v>4097.6000000000004</v>
      </c>
      <c r="I19" s="28">
        <f t="shared" si="0"/>
        <v>4075.46</v>
      </c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18.22</v>
      </c>
      <c r="C20" s="32"/>
      <c r="D20" s="32">
        <f>99.5+1.42</f>
        <v>100.92</v>
      </c>
      <c r="E20" s="32">
        <v>19.68</v>
      </c>
      <c r="F20" s="32">
        <v>115.98</v>
      </c>
      <c r="G20" s="32">
        <v>12.06</v>
      </c>
      <c r="H20" s="32">
        <v>550.9</v>
      </c>
      <c r="I20" s="32">
        <v>401.82</v>
      </c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I21" si="1">B19-B20</f>
        <v>4599.3499999999995</v>
      </c>
      <c r="C21" s="28">
        <f t="shared" si="1"/>
        <v>4599.25</v>
      </c>
      <c r="D21" s="28">
        <f t="shared" si="1"/>
        <v>4089.8600000000006</v>
      </c>
      <c r="E21" s="28">
        <f t="shared" si="1"/>
        <v>4097.5200000000004</v>
      </c>
      <c r="F21" s="28">
        <f t="shared" si="1"/>
        <v>4358.5700000000006</v>
      </c>
      <c r="G21" s="28">
        <f t="shared" si="1"/>
        <v>4120.21</v>
      </c>
      <c r="H21" s="28">
        <f t="shared" si="1"/>
        <v>3546.7000000000003</v>
      </c>
      <c r="I21" s="28">
        <f t="shared" si="1"/>
        <v>3673.64</v>
      </c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4599.3499999999995</v>
      </c>
      <c r="C22" s="37">
        <f>AVERAGE($B21:C21)</f>
        <v>4599.2999999999993</v>
      </c>
      <c r="D22" s="37">
        <f>AVERAGE($B21:D21)</f>
        <v>4429.4866666666667</v>
      </c>
      <c r="E22" s="37">
        <f>AVERAGE($B21:E21)</f>
        <v>4346.4949999999999</v>
      </c>
      <c r="F22" s="37">
        <f>AVERAGE($B21:F21)</f>
        <v>4348.91</v>
      </c>
      <c r="G22" s="37">
        <f>AVERAGE($B21:G21)</f>
        <v>4310.7933333333331</v>
      </c>
      <c r="H22" s="37">
        <f>AVERAGE($B21:H21)</f>
        <v>4201.6371428571429</v>
      </c>
      <c r="I22" s="37">
        <f>AVERAGE($B21:I21)</f>
        <v>4135.6374999999998</v>
      </c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Normal="100" workbookViewId="0">
      <selection activeCell="H24" sqref="H24"/>
    </sheetView>
  </sheetViews>
  <sheetFormatPr defaultRowHeight="12.75" x14ac:dyDescent="0.2"/>
  <cols>
    <col min="1" max="1" width="68.85546875" style="2" customWidth="1"/>
    <col min="2" max="2" width="9.28515625" style="10" customWidth="1"/>
    <col min="3" max="3" width="10.42578125" style="10" customWidth="1"/>
    <col min="4" max="4" width="11.140625" style="11" customWidth="1"/>
    <col min="5" max="5" width="9" style="11" bestFit="1" customWidth="1"/>
    <col min="6" max="6" width="10.85546875" style="11" customWidth="1"/>
    <col min="7" max="7" width="9.28515625" style="11" customWidth="1"/>
    <col min="8" max="8" width="9.42578125" style="11" customWidth="1"/>
    <col min="9" max="9" width="9" style="11" bestFit="1" customWidth="1"/>
    <col min="10" max="10" width="9.7109375" style="11" customWidth="1"/>
    <col min="11" max="11" width="9.5703125" style="11" customWidth="1"/>
    <col min="12" max="12" width="11.7109375" style="11" customWidth="1"/>
    <col min="13" max="13" width="13" style="11" customWidth="1"/>
    <col min="14" max="16384" width="9.140625" style="4"/>
  </cols>
  <sheetData>
    <row r="1" spans="1:13" s="1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72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5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6" customFormat="1" x14ac:dyDescent="0.2">
      <c r="A12" s="8" t="s">
        <v>27</v>
      </c>
      <c r="B12" s="32"/>
      <c r="C12" s="32"/>
      <c r="D12" s="33"/>
      <c r="E12" s="33"/>
      <c r="F12" s="33"/>
      <c r="G12" s="33"/>
      <c r="H12" s="33">
        <v>1860</v>
      </c>
      <c r="I12" s="34">
        <v>1860</v>
      </c>
      <c r="J12" s="33"/>
      <c r="K12" s="33"/>
      <c r="L12" s="33"/>
      <c r="M12" s="33"/>
    </row>
    <row r="13" spans="1:13" s="12" customFormat="1" x14ac:dyDescent="0.2">
      <c r="A13" s="8" t="s">
        <v>28</v>
      </c>
      <c r="B13" s="32"/>
      <c r="C13" s="32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3" s="12" customFormat="1" x14ac:dyDescent="0.2">
      <c r="A14" s="8" t="s">
        <v>29</v>
      </c>
      <c r="B14" s="32"/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3" s="12" customFormat="1" x14ac:dyDescent="0.2">
      <c r="A15" s="9" t="s">
        <v>30</v>
      </c>
      <c r="B15" s="32"/>
      <c r="C15" s="32">
        <f>92.55+249.67</f>
        <v>342.21999999999997</v>
      </c>
      <c r="D15" s="32">
        <f>663.34+960.25</f>
        <v>1623.5900000000001</v>
      </c>
      <c r="E15" s="32"/>
      <c r="F15" s="32">
        <f>496.8+479.4</f>
        <v>976.2</v>
      </c>
      <c r="G15" s="32">
        <v>872.8</v>
      </c>
      <c r="H15" s="32">
        <v>989.8</v>
      </c>
      <c r="I15" s="32">
        <f>84.75+1260.7</f>
        <v>1345.45</v>
      </c>
      <c r="J15" s="32"/>
      <c r="K15" s="32"/>
      <c r="L15" s="32"/>
      <c r="M15" s="32"/>
    </row>
    <row r="16" spans="1:13" s="6" customFormat="1" x14ac:dyDescent="0.2">
      <c r="A16" s="8" t="s">
        <v>31</v>
      </c>
      <c r="B16" s="32"/>
      <c r="C16" s="30">
        <v>1189.9000000000001</v>
      </c>
      <c r="D16" s="33"/>
      <c r="E16" s="33">
        <v>892.8</v>
      </c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/>
      <c r="C17" s="30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0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>
        <f t="shared" ref="C19:I19" si="0">SUM(C5:C18)</f>
        <v>1532.1200000000001</v>
      </c>
      <c r="D19" s="28">
        <f t="shared" si="0"/>
        <v>1623.5900000000001</v>
      </c>
      <c r="E19" s="28">
        <f t="shared" si="0"/>
        <v>892.8</v>
      </c>
      <c r="F19" s="28">
        <f t="shared" si="0"/>
        <v>976.2</v>
      </c>
      <c r="G19" s="28">
        <f t="shared" si="0"/>
        <v>872.8</v>
      </c>
      <c r="H19" s="28">
        <f t="shared" si="0"/>
        <v>2849.8</v>
      </c>
      <c r="I19" s="28">
        <f t="shared" si="0"/>
        <v>3205.45</v>
      </c>
      <c r="J19" s="28"/>
      <c r="K19" s="28"/>
      <c r="L19" s="28"/>
      <c r="M19" s="28"/>
    </row>
    <row r="20" spans="1:13" ht="13.5" thickBot="1" x14ac:dyDescent="0.25">
      <c r="A20" s="36" t="s">
        <v>14</v>
      </c>
      <c r="B20" s="29"/>
      <c r="C20" s="32"/>
      <c r="D20" s="32">
        <v>663.34</v>
      </c>
      <c r="E20" s="32"/>
      <c r="F20" s="32"/>
      <c r="G20" s="32"/>
      <c r="H20" s="32"/>
      <c r="I20" s="32">
        <v>84.75</v>
      </c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v>0</v>
      </c>
      <c r="C21" s="28">
        <f t="shared" ref="C21:I21" si="1">C19-C20</f>
        <v>1532.1200000000001</v>
      </c>
      <c r="D21" s="28">
        <f t="shared" si="1"/>
        <v>960.25000000000011</v>
      </c>
      <c r="E21" s="28">
        <f t="shared" si="1"/>
        <v>892.8</v>
      </c>
      <c r="F21" s="28">
        <f t="shared" si="1"/>
        <v>976.2</v>
      </c>
      <c r="G21" s="28">
        <f t="shared" si="1"/>
        <v>872.8</v>
      </c>
      <c r="H21" s="28">
        <f t="shared" si="1"/>
        <v>2849.8</v>
      </c>
      <c r="I21" s="28">
        <f t="shared" si="1"/>
        <v>3120.7</v>
      </c>
      <c r="J21" s="28"/>
      <c r="K21" s="28"/>
      <c r="L21" s="28"/>
      <c r="M21" s="28"/>
    </row>
    <row r="22" spans="1:13" ht="13.5" thickBot="1" x14ac:dyDescent="0.25">
      <c r="A22" s="36" t="s">
        <v>12</v>
      </c>
      <c r="B22" s="37"/>
      <c r="C22" s="37">
        <f>AVERAGE($B21:C21)</f>
        <v>766.06000000000006</v>
      </c>
      <c r="D22" s="37">
        <f>AVERAGE($B21:D21)</f>
        <v>830.79000000000008</v>
      </c>
      <c r="E22" s="37">
        <f>AVERAGE($B21:E21)</f>
        <v>846.29250000000002</v>
      </c>
      <c r="F22" s="37">
        <f>AVERAGE($B21:F21)</f>
        <v>872.274</v>
      </c>
      <c r="G22" s="37">
        <f>AVERAGE($B21:G21)</f>
        <v>872.36166666666668</v>
      </c>
      <c r="H22" s="37">
        <f>AVERAGE($B21:H21)</f>
        <v>1154.8528571428571</v>
      </c>
      <c r="I22" s="37">
        <f>AVERAGE($B21:I21)</f>
        <v>1400.58375</v>
      </c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x14ac:dyDescent="0.2">
      <c r="B25" s="10" t="s">
        <v>18</v>
      </c>
    </row>
    <row r="33" spans="13:13" x14ac:dyDescent="0.2">
      <c r="M33" s="11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I21" sqref="I21"/>
    </sheetView>
  </sheetViews>
  <sheetFormatPr defaultRowHeight="12.75" x14ac:dyDescent="0.2"/>
  <cols>
    <col min="1" max="1" width="64.5703125" style="21" customWidth="1"/>
    <col min="2" max="2" width="10.85546875" style="15" customWidth="1"/>
    <col min="3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67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900</v>
      </c>
      <c r="C5" s="30">
        <v>900</v>
      </c>
      <c r="D5" s="30">
        <v>900</v>
      </c>
      <c r="E5" s="30">
        <v>900</v>
      </c>
      <c r="F5" s="30">
        <v>900</v>
      </c>
      <c r="G5" s="30">
        <v>900</v>
      </c>
      <c r="H5" s="30">
        <v>938.34</v>
      </c>
      <c r="I5" s="30">
        <v>938.34</v>
      </c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>
        <v>206.11</v>
      </c>
      <c r="F7" s="30"/>
      <c r="G7" s="30">
        <v>170.08</v>
      </c>
      <c r="H7" s="30">
        <v>115.11</v>
      </c>
      <c r="I7" s="30">
        <v>203.19</v>
      </c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22" customFormat="1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0">
        <v>3915</v>
      </c>
      <c r="C12" s="30">
        <f>2380+1280</f>
        <v>3660</v>
      </c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2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0">
        <v>0</v>
      </c>
      <c r="C14" s="30"/>
      <c r="D14" s="30">
        <v>4450</v>
      </c>
      <c r="E14" s="33">
        <v>3400</v>
      </c>
      <c r="F14" s="33">
        <v>3600</v>
      </c>
      <c r="G14" s="33">
        <v>3500</v>
      </c>
      <c r="H14" s="33">
        <v>3500</v>
      </c>
      <c r="I14" s="33">
        <v>3500</v>
      </c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2"/>
      <c r="D18" s="30"/>
      <c r="E18" s="30"/>
      <c r="F18" s="30"/>
      <c r="G18" s="32"/>
      <c r="H18" s="32"/>
      <c r="I18" s="32"/>
      <c r="J18" s="32" t="s">
        <v>17</v>
      </c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I19" si="0">SUM(B5:B18)</f>
        <v>4815</v>
      </c>
      <c r="C19" s="28">
        <f t="shared" si="0"/>
        <v>4560</v>
      </c>
      <c r="D19" s="28">
        <f t="shared" si="0"/>
        <v>5350</v>
      </c>
      <c r="E19" s="28">
        <f t="shared" si="0"/>
        <v>4506.1100000000006</v>
      </c>
      <c r="F19" s="28">
        <f t="shared" si="0"/>
        <v>4500</v>
      </c>
      <c r="G19" s="28">
        <f t="shared" si="0"/>
        <v>4570.08</v>
      </c>
      <c r="H19" s="28">
        <f t="shared" si="0"/>
        <v>4553.45</v>
      </c>
      <c r="I19" s="28">
        <f t="shared" si="0"/>
        <v>4641.53</v>
      </c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215</v>
      </c>
      <c r="C20" s="32"/>
      <c r="D20" s="32">
        <v>750</v>
      </c>
      <c r="E20" s="32">
        <v>9</v>
      </c>
      <c r="F20" s="32"/>
      <c r="G20" s="32"/>
      <c r="H20" s="32">
        <v>2.98</v>
      </c>
      <c r="I20" s="32">
        <v>41.53</v>
      </c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I21" si="1">B19-B20</f>
        <v>4600</v>
      </c>
      <c r="C21" s="28">
        <f t="shared" si="1"/>
        <v>4560</v>
      </c>
      <c r="D21" s="28">
        <f t="shared" si="1"/>
        <v>4600</v>
      </c>
      <c r="E21" s="28">
        <f t="shared" si="1"/>
        <v>4497.1100000000006</v>
      </c>
      <c r="F21" s="28">
        <f t="shared" si="1"/>
        <v>4500</v>
      </c>
      <c r="G21" s="28">
        <f t="shared" si="1"/>
        <v>4570.08</v>
      </c>
      <c r="H21" s="28">
        <f t="shared" si="1"/>
        <v>4550.47</v>
      </c>
      <c r="I21" s="28">
        <f t="shared" si="1"/>
        <v>4600</v>
      </c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4580</v>
      </c>
      <c r="D22" s="37">
        <f>AVERAGE($B21:D21)</f>
        <v>4586.666666666667</v>
      </c>
      <c r="E22" s="37">
        <f>AVERAGE($B21:E21)</f>
        <v>4564.2775000000001</v>
      </c>
      <c r="F22" s="37">
        <f>AVERAGE($B21:F21)</f>
        <v>4551.4220000000005</v>
      </c>
      <c r="G22" s="37">
        <f>AVERAGE($B21:G21)</f>
        <v>4554.5316666666668</v>
      </c>
      <c r="H22" s="37">
        <f>AVERAGE($B21:H21)</f>
        <v>4553.9514285714295</v>
      </c>
      <c r="I22" s="37">
        <f>AVERAGE($B21:I21)</f>
        <v>4559.7075000000004</v>
      </c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J11" sqref="J11"/>
    </sheetView>
  </sheetViews>
  <sheetFormatPr defaultRowHeight="12.75" x14ac:dyDescent="0.2"/>
  <cols>
    <col min="1" max="1" width="60.7109375" style="21" customWidth="1"/>
    <col min="2" max="3" width="9" style="15" bestFit="1" customWidth="1"/>
    <col min="4" max="7" width="9" style="16" bestFit="1" customWidth="1"/>
    <col min="8" max="8" width="10" style="16" bestFit="1" customWidth="1"/>
    <col min="9" max="10" width="9" style="16" bestFit="1" customWidth="1"/>
    <col min="11" max="11" width="8.85546875" style="16" customWidth="1"/>
    <col min="12" max="13" width="9" style="16" bestFit="1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59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4000</v>
      </c>
      <c r="C5" s="30">
        <v>4000</v>
      </c>
      <c r="D5" s="30">
        <v>4000</v>
      </c>
      <c r="E5" s="30">
        <v>4000</v>
      </c>
      <c r="F5" s="30">
        <v>4000</v>
      </c>
      <c r="G5" s="30">
        <v>4000</v>
      </c>
      <c r="H5" s="30">
        <v>4000</v>
      </c>
      <c r="I5" s="30">
        <v>4000</v>
      </c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>
        <v>0</v>
      </c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318.62</v>
      </c>
      <c r="C7" s="30">
        <v>562.55999999999995</v>
      </c>
      <c r="D7" s="30">
        <v>463.6</v>
      </c>
      <c r="E7" s="30">
        <v>537.28</v>
      </c>
      <c r="F7" s="30">
        <v>604.84</v>
      </c>
      <c r="G7" s="30">
        <v>945.72</v>
      </c>
      <c r="H7" s="30">
        <v>813.32</v>
      </c>
      <c r="I7" s="30">
        <v>859.32</v>
      </c>
      <c r="J7" s="30"/>
      <c r="K7" s="30"/>
      <c r="L7" s="30"/>
      <c r="M7" s="30"/>
    </row>
    <row r="8" spans="1:13" x14ac:dyDescent="0.2">
      <c r="A8" s="31" t="s">
        <v>23</v>
      </c>
      <c r="B8" s="30">
        <v>179.78</v>
      </c>
      <c r="C8" s="30">
        <v>179.78</v>
      </c>
      <c r="D8" s="30">
        <v>90.87</v>
      </c>
      <c r="E8" s="30">
        <v>158.9</v>
      </c>
      <c r="F8" s="30">
        <v>209.94</v>
      </c>
      <c r="G8" s="30">
        <v>89.7</v>
      </c>
      <c r="H8" s="30">
        <v>75.48</v>
      </c>
      <c r="I8" s="30">
        <v>81.72</v>
      </c>
      <c r="J8" s="30"/>
      <c r="K8" s="30"/>
      <c r="L8" s="30"/>
      <c r="M8" s="30"/>
    </row>
    <row r="9" spans="1:13" x14ac:dyDescent="0.2">
      <c r="A9" s="31" t="s">
        <v>24</v>
      </c>
      <c r="B9" s="30">
        <v>368.52</v>
      </c>
      <c r="C9" s="30">
        <v>368.52</v>
      </c>
      <c r="D9" s="30">
        <v>368.52</v>
      </c>
      <c r="E9" s="30">
        <v>368.52</v>
      </c>
      <c r="F9" s="30">
        <v>368.52</v>
      </c>
      <c r="G9" s="30">
        <v>368.52</v>
      </c>
      <c r="H9" s="30">
        <v>368.52</v>
      </c>
      <c r="I9" s="30">
        <v>368.52</v>
      </c>
      <c r="J9" s="30"/>
      <c r="K9" s="30"/>
      <c r="L9" s="30"/>
      <c r="M9" s="30"/>
    </row>
    <row r="10" spans="1:13" x14ac:dyDescent="0.2">
      <c r="A10" s="31" t="s">
        <v>25</v>
      </c>
      <c r="B10" s="30">
        <v>153.58000000000001</v>
      </c>
      <c r="C10" s="30">
        <v>368.44</v>
      </c>
      <c r="D10" s="30">
        <v>362.76</v>
      </c>
      <c r="E10" s="30">
        <v>539.34</v>
      </c>
      <c r="F10" s="30">
        <v>273.41000000000003</v>
      </c>
      <c r="G10" s="30">
        <v>586.65</v>
      </c>
      <c r="H10" s="30">
        <v>267.08</v>
      </c>
      <c r="I10" s="30">
        <v>213.19</v>
      </c>
      <c r="J10" s="30"/>
      <c r="K10" s="30"/>
      <c r="L10" s="30"/>
      <c r="M10" s="30"/>
    </row>
    <row r="11" spans="1:13" s="22" customFormat="1" x14ac:dyDescent="0.2">
      <c r="A11" s="7" t="s">
        <v>26</v>
      </c>
      <c r="B11" s="32"/>
      <c r="C11" s="32">
        <v>0</v>
      </c>
      <c r="D11" s="30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2"/>
      <c r="C12" s="32">
        <v>0</v>
      </c>
      <c r="D12" s="30">
        <v>0</v>
      </c>
      <c r="E12" s="30">
        <v>0</v>
      </c>
      <c r="F12" s="30">
        <v>0</v>
      </c>
      <c r="G12" s="33"/>
      <c r="H12" s="33"/>
      <c r="I12" s="34"/>
      <c r="J12" s="33"/>
      <c r="K12" s="33"/>
      <c r="L12" s="33"/>
      <c r="M12" s="33"/>
    </row>
    <row r="13" spans="1:13" s="22" customFormat="1" x14ac:dyDescent="0.2">
      <c r="A13" s="8" t="s">
        <v>28</v>
      </c>
      <c r="B13" s="32">
        <v>0</v>
      </c>
      <c r="C13" s="32">
        <v>0</v>
      </c>
      <c r="D13" s="30">
        <v>0</v>
      </c>
      <c r="E13" s="30">
        <v>0</v>
      </c>
      <c r="F13" s="30">
        <v>0</v>
      </c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2">
        <v>0</v>
      </c>
      <c r="C14" s="32">
        <v>0</v>
      </c>
      <c r="D14" s="30">
        <v>0</v>
      </c>
      <c r="E14" s="30">
        <v>0</v>
      </c>
      <c r="F14" s="30">
        <v>0</v>
      </c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0">
        <v>0</v>
      </c>
      <c r="E15" s="32" t="s">
        <v>37</v>
      </c>
      <c r="F15" s="30">
        <v>0</v>
      </c>
      <c r="G15" s="32"/>
      <c r="H15" s="32"/>
      <c r="I15" s="32"/>
      <c r="J15" s="32"/>
      <c r="K15" s="32"/>
      <c r="L15" s="32"/>
      <c r="M15" s="32"/>
    </row>
    <row r="16" spans="1:13" x14ac:dyDescent="0.2">
      <c r="A16" s="8" t="s">
        <v>31</v>
      </c>
      <c r="B16" s="32">
        <v>0</v>
      </c>
      <c r="C16" s="32">
        <v>0</v>
      </c>
      <c r="D16" s="30">
        <v>0</v>
      </c>
      <c r="E16" s="33">
        <v>0</v>
      </c>
      <c r="F16" s="30">
        <v>0</v>
      </c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0">
        <v>0</v>
      </c>
      <c r="E17" s="33">
        <v>0</v>
      </c>
      <c r="F17" s="30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>
        <v>0</v>
      </c>
      <c r="D18" s="30">
        <v>0</v>
      </c>
      <c r="E18" s="32">
        <v>0</v>
      </c>
      <c r="F18" s="30">
        <v>0</v>
      </c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5020.5</v>
      </c>
      <c r="C19" s="28">
        <f t="shared" si="0"/>
        <v>5479.2999999999984</v>
      </c>
      <c r="D19" s="28">
        <f t="shared" si="0"/>
        <v>5285.75</v>
      </c>
      <c r="E19" s="28">
        <f t="shared" si="0"/>
        <v>5604.0399999999991</v>
      </c>
      <c r="F19" s="28">
        <f t="shared" si="0"/>
        <v>5456.7099999999991</v>
      </c>
      <c r="G19" s="28">
        <f t="shared" si="0"/>
        <v>5990.59</v>
      </c>
      <c r="H19" s="28">
        <f t="shared" si="0"/>
        <v>5524.4</v>
      </c>
      <c r="I19" s="28">
        <f t="shared" si="0"/>
        <v>5522.7499999999991</v>
      </c>
      <c r="J19" s="28">
        <f t="shared" si="0"/>
        <v>0</v>
      </c>
      <c r="K19" s="28">
        <f t="shared" si="0"/>
        <v>0</v>
      </c>
      <c r="L19" s="28">
        <f t="shared" si="0"/>
        <v>0</v>
      </c>
      <c r="M19" s="28">
        <f t="shared" si="0"/>
        <v>0</v>
      </c>
    </row>
    <row r="20" spans="1:13" ht="13.5" thickBot="1" x14ac:dyDescent="0.25">
      <c r="A20" s="36" t="s">
        <v>14</v>
      </c>
      <c r="B20" s="29">
        <v>420.5</v>
      </c>
      <c r="C20" s="32">
        <v>879.3</v>
      </c>
      <c r="D20" s="32">
        <f>4.59+14.07+667.09</f>
        <v>685.75</v>
      </c>
      <c r="E20" s="32">
        <f>9.74+2.74+991.56</f>
        <v>1004.04</v>
      </c>
      <c r="F20" s="32">
        <v>856.71</v>
      </c>
      <c r="G20" s="32">
        <v>1390.59</v>
      </c>
      <c r="H20" s="32">
        <v>924.4</v>
      </c>
      <c r="I20" s="32">
        <v>922.75</v>
      </c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 t="shared" ref="C21:M21" si="1">C19-C20</f>
        <v>4599.9999999999982</v>
      </c>
      <c r="D21" s="28">
        <f t="shared" si="1"/>
        <v>4600</v>
      </c>
      <c r="E21" s="28">
        <f t="shared" si="1"/>
        <v>4599.9999999999991</v>
      </c>
      <c r="F21" s="28">
        <f t="shared" si="1"/>
        <v>4599.9999999999991</v>
      </c>
      <c r="G21" s="28">
        <f t="shared" si="1"/>
        <v>4600</v>
      </c>
      <c r="H21" s="28">
        <f t="shared" si="1"/>
        <v>4600</v>
      </c>
      <c r="I21" s="28">
        <f t="shared" si="1"/>
        <v>4599.9999999999991</v>
      </c>
      <c r="J21" s="28">
        <f t="shared" si="1"/>
        <v>0</v>
      </c>
      <c r="K21" s="28">
        <f t="shared" si="1"/>
        <v>0</v>
      </c>
      <c r="L21" s="28">
        <f t="shared" si="1"/>
        <v>0</v>
      </c>
      <c r="M21" s="28">
        <f t="shared" si="1"/>
        <v>0</v>
      </c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4599.9999999999991</v>
      </c>
      <c r="D22" s="37">
        <f>AVERAGE($B21:D21)</f>
        <v>4599.9999999999991</v>
      </c>
      <c r="E22" s="37">
        <f>AVERAGE($B21:E21)</f>
        <v>4599.9999999999991</v>
      </c>
      <c r="F22" s="37">
        <f>AVERAGE($B21:F21)</f>
        <v>4599.9999999999991</v>
      </c>
      <c r="G22" s="37">
        <f>AVERAGE($B21:G21)</f>
        <v>4599.9999999999991</v>
      </c>
      <c r="H22" s="37">
        <f>AVERAGE($B21:H21)</f>
        <v>4599.9999999999991</v>
      </c>
      <c r="I22" s="37">
        <f>AVERAGE($B21:I21)</f>
        <v>4599.9999999999991</v>
      </c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F25" sqref="F25"/>
    </sheetView>
  </sheetViews>
  <sheetFormatPr defaultRowHeight="12.75" x14ac:dyDescent="0.2"/>
  <cols>
    <col min="1" max="1" width="56.42578125" style="2" customWidth="1"/>
    <col min="2" max="2" width="10.140625" style="10" customWidth="1"/>
    <col min="3" max="3" width="9" style="10" customWidth="1"/>
    <col min="4" max="9" width="9" style="11" bestFit="1" customWidth="1"/>
    <col min="10" max="10" width="10" style="11" bestFit="1" customWidth="1"/>
    <col min="11" max="11" width="8.7109375" style="11" customWidth="1"/>
    <col min="12" max="12" width="9" style="11" customWidth="1"/>
    <col min="13" max="13" width="9.5703125" style="11" customWidth="1"/>
    <col min="14" max="16384" width="9.140625" style="4"/>
  </cols>
  <sheetData>
    <row r="1" spans="1:13" s="1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49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5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>
        <v>0</v>
      </c>
      <c r="D11" s="32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3" s="12" customFormat="1" x14ac:dyDescent="0.2">
      <c r="A12" s="8" t="s">
        <v>27</v>
      </c>
      <c r="B12" s="32">
        <v>0</v>
      </c>
      <c r="C12" s="32">
        <v>0</v>
      </c>
      <c r="D12" s="32">
        <v>0</v>
      </c>
      <c r="E12" s="33"/>
      <c r="F12" s="33"/>
      <c r="G12" s="33"/>
      <c r="H12" s="33"/>
      <c r="I12" s="34"/>
      <c r="J12" s="33"/>
      <c r="K12" s="33"/>
      <c r="L12" s="33"/>
      <c r="M12" s="33"/>
    </row>
    <row r="13" spans="1:13" s="6" customFormat="1" x14ac:dyDescent="0.2">
      <c r="A13" s="8" t="s">
        <v>28</v>
      </c>
      <c r="B13" s="32">
        <v>0</v>
      </c>
      <c r="C13" s="32">
        <v>0</v>
      </c>
      <c r="D13" s="32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3"/>
    </row>
    <row r="14" spans="1:13" s="12" customFormat="1" x14ac:dyDescent="0.2">
      <c r="A14" s="8" t="s">
        <v>29</v>
      </c>
      <c r="B14" s="32">
        <v>0</v>
      </c>
      <c r="C14" s="32">
        <v>0</v>
      </c>
      <c r="D14" s="32">
        <v>0</v>
      </c>
      <c r="E14" s="30">
        <v>0</v>
      </c>
      <c r="F14" s="30">
        <v>2500</v>
      </c>
      <c r="G14" s="32">
        <v>2500</v>
      </c>
      <c r="H14" s="32">
        <v>2500</v>
      </c>
      <c r="I14" s="32">
        <v>2500</v>
      </c>
      <c r="J14" s="30">
        <v>0</v>
      </c>
      <c r="K14" s="30">
        <v>0</v>
      </c>
      <c r="L14" s="32">
        <v>0</v>
      </c>
      <c r="M14" s="33"/>
    </row>
    <row r="15" spans="1:13" s="6" customFormat="1" x14ac:dyDescent="0.2">
      <c r="A15" s="9" t="s">
        <v>30</v>
      </c>
      <c r="B15" s="35">
        <v>1769.04</v>
      </c>
      <c r="C15" s="32">
        <f>339.74+167.82+125.9+1180.03</f>
        <v>1813.49</v>
      </c>
      <c r="D15" s="32">
        <f>154.1+477.78+147.15+260+347.97</f>
        <v>1387</v>
      </c>
      <c r="E15" s="32">
        <v>398.15</v>
      </c>
      <c r="F15" s="32">
        <f>539.25+195.1+144</f>
        <v>878.35</v>
      </c>
      <c r="G15" s="32">
        <f>262.4+178.9+304.35</f>
        <v>745.65</v>
      </c>
      <c r="H15" s="32">
        <v>591.29999999999995</v>
      </c>
      <c r="I15" s="32">
        <f>163.25+200.75</f>
        <v>364</v>
      </c>
      <c r="J15" s="32"/>
      <c r="K15" s="32"/>
      <c r="L15" s="32"/>
      <c r="M15" s="32"/>
    </row>
    <row r="16" spans="1:13" s="6" customFormat="1" ht="25.5" x14ac:dyDescent="0.2">
      <c r="A16" s="8" t="s">
        <v>31</v>
      </c>
      <c r="B16" s="32"/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2">
        <v>0</v>
      </c>
      <c r="E17" s="30">
        <v>0</v>
      </c>
      <c r="F17" s="30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10">
        <v>1400</v>
      </c>
      <c r="C18" s="32">
        <v>2460</v>
      </c>
      <c r="D18" s="32">
        <v>1532</v>
      </c>
      <c r="E18" s="32">
        <v>2130</v>
      </c>
      <c r="F18" s="32">
        <v>1680</v>
      </c>
      <c r="G18" s="32">
        <v>1220</v>
      </c>
      <c r="H18" s="32">
        <v>1510</v>
      </c>
      <c r="I18" s="32">
        <v>1530</v>
      </c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I19" si="0">SUM(B5:B18)</f>
        <v>3169.04</v>
      </c>
      <c r="C19" s="28">
        <f t="shared" si="0"/>
        <v>4273.49</v>
      </c>
      <c r="D19" s="28">
        <f t="shared" si="0"/>
        <v>2919</v>
      </c>
      <c r="E19" s="28">
        <f t="shared" si="0"/>
        <v>2528.15</v>
      </c>
      <c r="F19" s="28">
        <f t="shared" si="0"/>
        <v>5058.3500000000004</v>
      </c>
      <c r="G19" s="28">
        <f t="shared" si="0"/>
        <v>4465.6499999999996</v>
      </c>
      <c r="H19" s="28">
        <f t="shared" si="0"/>
        <v>4601.3</v>
      </c>
      <c r="I19" s="28">
        <f t="shared" si="0"/>
        <v>4394</v>
      </c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>
        <v>132</v>
      </c>
      <c r="D20" s="32">
        <f>477.78+347.97</f>
        <v>825.75</v>
      </c>
      <c r="E20" s="32"/>
      <c r="F20" s="32">
        <v>458.35</v>
      </c>
      <c r="G20" s="32"/>
      <c r="H20" s="32">
        <v>1.3</v>
      </c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3169.04</v>
      </c>
      <c r="C21" s="28">
        <f t="shared" ref="C21:M21" si="1">C19-C20</f>
        <v>4141.49</v>
      </c>
      <c r="D21" s="28">
        <f t="shared" si="1"/>
        <v>2093.25</v>
      </c>
      <c r="E21" s="28">
        <f t="shared" si="1"/>
        <v>2528.15</v>
      </c>
      <c r="F21" s="28">
        <f t="shared" si="1"/>
        <v>4600</v>
      </c>
      <c r="G21" s="28">
        <f t="shared" si="1"/>
        <v>4465.6499999999996</v>
      </c>
      <c r="H21" s="28">
        <f t="shared" si="1"/>
        <v>4600</v>
      </c>
      <c r="I21" s="28">
        <f t="shared" si="1"/>
        <v>4394</v>
      </c>
      <c r="J21" s="28">
        <f t="shared" si="1"/>
        <v>0</v>
      </c>
      <c r="K21" s="28">
        <f t="shared" si="1"/>
        <v>0</v>
      </c>
      <c r="L21" s="28">
        <f t="shared" si="1"/>
        <v>0</v>
      </c>
      <c r="M21" s="28">
        <f t="shared" si="1"/>
        <v>0</v>
      </c>
    </row>
    <row r="22" spans="1:13" ht="13.5" thickBot="1" x14ac:dyDescent="0.25">
      <c r="A22" s="36" t="s">
        <v>12</v>
      </c>
      <c r="B22" s="37">
        <f>AVERAGE(B21)</f>
        <v>3169.04</v>
      </c>
      <c r="C22" s="37">
        <f>AVERAGE($B21:C21)</f>
        <v>3655.2649999999999</v>
      </c>
      <c r="D22" s="37">
        <f>AVERAGE($B21:D21)</f>
        <v>3134.5933333333328</v>
      </c>
      <c r="E22" s="37">
        <f>AVERAGE($B21:E21)</f>
        <v>2982.9824999999996</v>
      </c>
      <c r="F22" s="37">
        <f>AVERAGE($B21:F21)</f>
        <v>3306.386</v>
      </c>
      <c r="G22" s="37">
        <f>AVERAGE($B21:G21)</f>
        <v>3499.5966666666668</v>
      </c>
      <c r="H22" s="37">
        <f>AVERAGE($B21:H21)</f>
        <v>3656.7971428571432</v>
      </c>
      <c r="I22" s="37">
        <f>AVERAGE($B21:I21)</f>
        <v>3748.9475000000002</v>
      </c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I25" sqref="I25"/>
    </sheetView>
  </sheetViews>
  <sheetFormatPr defaultRowHeight="12.75" x14ac:dyDescent="0.2"/>
  <cols>
    <col min="1" max="1" width="63.28515625" style="21" customWidth="1"/>
    <col min="2" max="3" width="9" style="15" bestFit="1" customWidth="1"/>
    <col min="4" max="10" width="9" style="16" bestFit="1" customWidth="1"/>
    <col min="11" max="11" width="9" style="16" customWidth="1"/>
    <col min="12" max="12" width="9" style="16" bestFit="1" customWidth="1"/>
    <col min="13" max="13" width="9.2851562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68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3200</v>
      </c>
      <c r="C5" s="30">
        <v>3200</v>
      </c>
      <c r="D5" s="30">
        <v>3200</v>
      </c>
      <c r="E5" s="30">
        <v>3200</v>
      </c>
      <c r="F5" s="30">
        <v>3200</v>
      </c>
      <c r="G5" s="30">
        <v>3200</v>
      </c>
      <c r="H5" s="30">
        <v>3200</v>
      </c>
      <c r="I5" s="30">
        <v>3200</v>
      </c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1400</v>
      </c>
      <c r="C12" s="32">
        <v>1400</v>
      </c>
      <c r="D12" s="32">
        <v>1400</v>
      </c>
      <c r="E12" s="33">
        <v>1400</v>
      </c>
      <c r="F12" s="33">
        <v>1400</v>
      </c>
      <c r="G12" s="33">
        <v>1400</v>
      </c>
      <c r="H12" s="33">
        <v>1400</v>
      </c>
      <c r="I12" s="34">
        <v>1400</v>
      </c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I19" si="0">SUM(B5:B18)</f>
        <v>4600</v>
      </c>
      <c r="C19" s="28">
        <f t="shared" si="0"/>
        <v>4600</v>
      </c>
      <c r="D19" s="28">
        <f t="shared" si="0"/>
        <v>4600</v>
      </c>
      <c r="E19" s="28">
        <f t="shared" si="0"/>
        <v>4600</v>
      </c>
      <c r="F19" s="28">
        <f t="shared" si="0"/>
        <v>4600</v>
      </c>
      <c r="G19" s="28">
        <f t="shared" si="0"/>
        <v>4600</v>
      </c>
      <c r="H19" s="28">
        <f t="shared" si="0"/>
        <v>4600</v>
      </c>
      <c r="I19" s="28">
        <f t="shared" si="0"/>
        <v>4600</v>
      </c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I21" si="1">B19-B20</f>
        <v>4600</v>
      </c>
      <c r="C21" s="28">
        <f t="shared" si="1"/>
        <v>4600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4600</v>
      </c>
      <c r="H21" s="28">
        <f t="shared" si="1"/>
        <v>4600</v>
      </c>
      <c r="I21" s="28">
        <f t="shared" si="1"/>
        <v>4600</v>
      </c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>
        <f>AVERAGE($B21:F21)</f>
        <v>4600</v>
      </c>
      <c r="G22" s="37">
        <f>AVERAGE($B21:G21)</f>
        <v>4600</v>
      </c>
      <c r="H22" s="37">
        <f>AVERAGE($B21:H21)</f>
        <v>4600</v>
      </c>
      <c r="I22" s="37">
        <f>AVERAGE($B21:I21)</f>
        <v>4600</v>
      </c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Normal="100" workbookViewId="0">
      <selection activeCell="I25" sqref="I25"/>
    </sheetView>
  </sheetViews>
  <sheetFormatPr defaultRowHeight="12.75" x14ac:dyDescent="0.2"/>
  <cols>
    <col min="1" max="1" width="59.140625" style="21" customWidth="1"/>
    <col min="2" max="2" width="9" style="15" customWidth="1"/>
    <col min="3" max="3" width="7.85546875" style="15" bestFit="1" customWidth="1"/>
    <col min="4" max="9" width="7.85546875" style="16" bestFit="1" customWidth="1"/>
    <col min="10" max="10" width="8.5703125" style="16" customWidth="1"/>
    <col min="11" max="12" width="7.85546875" style="16" bestFit="1" customWidth="1"/>
    <col min="13" max="13" width="9.8554687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73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 t="s">
        <v>35</v>
      </c>
      <c r="D19" s="28" t="s">
        <v>35</v>
      </c>
      <c r="E19" s="28" t="s">
        <v>35</v>
      </c>
      <c r="F19" s="28" t="s">
        <v>35</v>
      </c>
      <c r="G19" s="28" t="s">
        <v>35</v>
      </c>
      <c r="H19" s="28" t="s">
        <v>35</v>
      </c>
      <c r="I19" s="28" t="s">
        <v>35</v>
      </c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v>0</v>
      </c>
      <c r="C21" s="28"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5" spans="1:13" x14ac:dyDescent="0.2">
      <c r="A25" s="21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I25" sqref="I25"/>
    </sheetView>
  </sheetViews>
  <sheetFormatPr defaultRowHeight="12.75" x14ac:dyDescent="0.2"/>
  <cols>
    <col min="1" max="1" width="70" style="21" customWidth="1"/>
    <col min="2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45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3720</v>
      </c>
      <c r="C12" s="32">
        <v>3360</v>
      </c>
      <c r="D12" s="32">
        <v>3720</v>
      </c>
      <c r="E12" s="32">
        <v>3600</v>
      </c>
      <c r="F12" s="32">
        <v>3720</v>
      </c>
      <c r="G12" s="32">
        <v>3600</v>
      </c>
      <c r="H12" s="32">
        <v>3720</v>
      </c>
      <c r="I12" s="32">
        <v>3720</v>
      </c>
      <c r="J12" s="32"/>
      <c r="K12" s="32"/>
      <c r="L12" s="32"/>
      <c r="M12" s="32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G19" si="0">SUM(B5:B18)</f>
        <v>3720</v>
      </c>
      <c r="C19" s="28">
        <f t="shared" si="0"/>
        <v>3360</v>
      </c>
      <c r="D19" s="28">
        <f t="shared" si="0"/>
        <v>3720</v>
      </c>
      <c r="E19" s="28">
        <f t="shared" si="0"/>
        <v>3600</v>
      </c>
      <c r="F19" s="28">
        <f t="shared" si="0"/>
        <v>3720</v>
      </c>
      <c r="G19" s="28">
        <f t="shared" si="0"/>
        <v>3600</v>
      </c>
      <c r="H19" s="28">
        <v>3720</v>
      </c>
      <c r="I19" s="28">
        <v>3720</v>
      </c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G21" si="1">B19-B20</f>
        <v>3720</v>
      </c>
      <c r="C21" s="28">
        <f t="shared" si="1"/>
        <v>3360</v>
      </c>
      <c r="D21" s="28">
        <f t="shared" si="1"/>
        <v>3720</v>
      </c>
      <c r="E21" s="28">
        <f t="shared" si="1"/>
        <v>3600</v>
      </c>
      <c r="F21" s="28">
        <f t="shared" si="1"/>
        <v>3720</v>
      </c>
      <c r="G21" s="28">
        <f t="shared" si="1"/>
        <v>3600</v>
      </c>
      <c r="H21" s="28">
        <v>3720</v>
      </c>
      <c r="I21" s="28">
        <v>3720</v>
      </c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3720</v>
      </c>
      <c r="C22" s="37">
        <f>AVERAGE($B21:C21)</f>
        <v>3540</v>
      </c>
      <c r="D22" s="37">
        <f>AVERAGE($B21:D21)</f>
        <v>3600</v>
      </c>
      <c r="E22" s="37">
        <f>AVERAGE($B21:E21)</f>
        <v>3600</v>
      </c>
      <c r="F22" s="37">
        <f>AVERAGE($B21:F21)</f>
        <v>3624</v>
      </c>
      <c r="G22" s="37">
        <f>AVERAGE($B21:G21)</f>
        <v>3620</v>
      </c>
      <c r="H22" s="37">
        <f>AVERAGE($B21:H21)</f>
        <v>3634.2857142857142</v>
      </c>
      <c r="I22" s="37">
        <f>AVERAGE($B21:I21)</f>
        <v>3645</v>
      </c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K25" sqref="K25"/>
    </sheetView>
  </sheetViews>
  <sheetFormatPr defaultRowHeight="12" x14ac:dyDescent="0.2"/>
  <cols>
    <col min="1" max="1" width="51.7109375" style="3" customWidth="1"/>
    <col min="2" max="2" width="9" style="10" customWidth="1"/>
    <col min="3" max="3" width="9.140625" style="10" customWidth="1"/>
    <col min="4" max="7" width="9" style="11" bestFit="1" customWidth="1"/>
    <col min="8" max="8" width="8.7109375" style="11" customWidth="1"/>
    <col min="9" max="9" width="9" style="11" bestFit="1" customWidth="1"/>
    <col min="10" max="10" width="9.42578125" style="11" customWidth="1"/>
    <col min="11" max="12" width="9" style="11" customWidth="1"/>
    <col min="13" max="13" width="9" style="11" bestFit="1" customWidth="1"/>
    <col min="14" max="16384" width="9.140625" style="4"/>
  </cols>
  <sheetData>
    <row r="1" spans="1:13" s="1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s="5" customFormat="1" ht="21.75" thickBot="1" x14ac:dyDescent="0.25">
      <c r="A2" s="48" t="s">
        <v>55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ht="12.75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12.75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12.75" x14ac:dyDescent="0.2">
      <c r="A7" s="31" t="s">
        <v>22</v>
      </c>
      <c r="B7" s="30">
        <v>1119.69</v>
      </c>
      <c r="C7" s="30">
        <v>500.16</v>
      </c>
      <c r="D7" s="30">
        <v>1031.6400000000001</v>
      </c>
      <c r="E7" s="30">
        <v>1139.1099999999999</v>
      </c>
      <c r="F7" s="30">
        <v>984.41</v>
      </c>
      <c r="G7" s="30">
        <v>911.05</v>
      </c>
      <c r="H7" s="30">
        <v>945.71</v>
      </c>
      <c r="I7" s="30">
        <v>671.81</v>
      </c>
      <c r="J7" s="30"/>
      <c r="K7" s="30"/>
      <c r="L7" s="30"/>
      <c r="M7" s="30"/>
    </row>
    <row r="8" spans="1:13" ht="12.75" x14ac:dyDescent="0.2">
      <c r="A8" s="31" t="s">
        <v>23</v>
      </c>
      <c r="B8" s="30">
        <v>118.22</v>
      </c>
      <c r="C8" s="30">
        <v>142.66</v>
      </c>
      <c r="D8" s="30">
        <v>118.22</v>
      </c>
      <c r="E8" s="30">
        <v>121.6</v>
      </c>
      <c r="F8" s="30">
        <v>119.22</v>
      </c>
      <c r="G8" s="30">
        <v>122.5</v>
      </c>
      <c r="H8" s="30">
        <v>122.5</v>
      </c>
      <c r="I8" s="30">
        <v>124.95</v>
      </c>
      <c r="J8" s="30"/>
      <c r="K8" s="30"/>
      <c r="L8" s="30"/>
      <c r="M8" s="30"/>
    </row>
    <row r="9" spans="1:13" ht="12.75" x14ac:dyDescent="0.2">
      <c r="A9" s="31" t="s">
        <v>24</v>
      </c>
      <c r="B9" s="30">
        <v>0</v>
      </c>
      <c r="C9" s="30">
        <v>418.52</v>
      </c>
      <c r="D9" s="30">
        <v>466.96</v>
      </c>
      <c r="E9" s="30">
        <v>418.52</v>
      </c>
      <c r="F9" s="30">
        <v>418.52</v>
      </c>
      <c r="G9" s="30">
        <v>418.52</v>
      </c>
      <c r="H9" s="30">
        <v>418.52</v>
      </c>
      <c r="I9" s="30">
        <v>418.52</v>
      </c>
      <c r="J9" s="30"/>
      <c r="K9" s="30"/>
      <c r="L9" s="30"/>
      <c r="M9" s="30"/>
    </row>
    <row r="10" spans="1:13" ht="12.75" x14ac:dyDescent="0.2">
      <c r="A10" s="31" t="s">
        <v>25</v>
      </c>
      <c r="B10" s="30">
        <v>309.56</v>
      </c>
      <c r="C10" s="30">
        <v>314.2</v>
      </c>
      <c r="D10" s="30">
        <v>202.45</v>
      </c>
      <c r="E10" s="30">
        <v>234.49</v>
      </c>
      <c r="F10" s="30">
        <v>226.91</v>
      </c>
      <c r="G10" s="30">
        <v>237.06</v>
      </c>
      <c r="H10" s="30">
        <v>237.66</v>
      </c>
      <c r="I10" s="30">
        <v>230.17</v>
      </c>
      <c r="J10" s="30"/>
      <c r="K10" s="30"/>
      <c r="L10" s="30"/>
      <c r="M10" s="30"/>
    </row>
    <row r="11" spans="1:13" s="12" customFormat="1" ht="12.75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6" customFormat="1" ht="12.75" x14ac:dyDescent="0.2">
      <c r="A12" s="8" t="s">
        <v>27</v>
      </c>
      <c r="B12" s="32">
        <v>0</v>
      </c>
      <c r="C12" s="32"/>
      <c r="D12" s="32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6" customFormat="1" ht="12.75" x14ac:dyDescent="0.2">
      <c r="A13" s="8" t="s">
        <v>28</v>
      </c>
      <c r="B13" s="32">
        <v>0</v>
      </c>
      <c r="C13" s="32"/>
      <c r="D13" s="32"/>
      <c r="E13" s="33"/>
      <c r="F13" s="33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2">
        <v>0</v>
      </c>
      <c r="C14" s="32"/>
      <c r="D14" s="32"/>
      <c r="E14" s="33"/>
      <c r="F14" s="33"/>
      <c r="G14" s="33"/>
      <c r="H14" s="33"/>
      <c r="I14" s="33"/>
      <c r="J14" s="33"/>
      <c r="K14" s="33"/>
      <c r="L14" s="33"/>
      <c r="M14" s="33"/>
    </row>
    <row r="15" spans="1:13" s="6" customFormat="1" ht="12.75" x14ac:dyDescent="0.2">
      <c r="A15" s="9" t="s">
        <v>30</v>
      </c>
      <c r="B15" s="32">
        <v>323</v>
      </c>
      <c r="C15" s="32">
        <f>75+397.25+35.3</f>
        <v>507.55</v>
      </c>
      <c r="D15" s="32"/>
      <c r="E15" s="33">
        <f>114+944.2</f>
        <v>1058.2</v>
      </c>
      <c r="F15" s="32">
        <v>153</v>
      </c>
      <c r="G15" s="32">
        <f>288+671.7</f>
        <v>959.7</v>
      </c>
      <c r="H15" s="32">
        <v>147</v>
      </c>
      <c r="I15" s="32">
        <f>160.25+146</f>
        <v>306.25</v>
      </c>
      <c r="J15" s="32"/>
      <c r="K15" s="32"/>
      <c r="L15" s="32"/>
      <c r="M15" s="32"/>
    </row>
    <row r="16" spans="1:13" ht="25.5" x14ac:dyDescent="0.2">
      <c r="A16" s="8" t="s">
        <v>31</v>
      </c>
      <c r="B16" s="32">
        <v>0</v>
      </c>
      <c r="C16" s="32"/>
      <c r="D16" s="32"/>
      <c r="E16" s="33"/>
      <c r="F16" s="33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2">
        <v>0</v>
      </c>
      <c r="C17" s="32"/>
      <c r="D17" s="32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3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I19" si="0">SUM(B5:B18)</f>
        <v>1870.47</v>
      </c>
      <c r="C19" s="28">
        <f t="shared" si="0"/>
        <v>1883.0900000000001</v>
      </c>
      <c r="D19" s="28">
        <f t="shared" si="0"/>
        <v>1819.2700000000002</v>
      </c>
      <c r="E19" s="28">
        <f t="shared" si="0"/>
        <v>2971.92</v>
      </c>
      <c r="F19" s="28">
        <f t="shared" si="0"/>
        <v>1902.06</v>
      </c>
      <c r="G19" s="28">
        <f t="shared" si="0"/>
        <v>2648.83</v>
      </c>
      <c r="H19" s="28">
        <f t="shared" si="0"/>
        <v>1871.39</v>
      </c>
      <c r="I19" s="28">
        <f t="shared" si="0"/>
        <v>1751.7</v>
      </c>
      <c r="J19" s="28"/>
      <c r="K19" s="28"/>
      <c r="L19" s="28"/>
      <c r="M19" s="28">
        <f>SUM(M5:M18)</f>
        <v>0</v>
      </c>
    </row>
    <row r="20" spans="1:13" ht="13.5" thickBot="1" x14ac:dyDescent="0.25">
      <c r="A20" s="36" t="s">
        <v>14</v>
      </c>
      <c r="B20" s="29">
        <v>0</v>
      </c>
      <c r="C20" s="32">
        <f>32.19+1+1.31</f>
        <v>34.5</v>
      </c>
      <c r="D20" s="32">
        <v>26.41</v>
      </c>
      <c r="E20" s="32">
        <f>3.38+6.4+114</f>
        <v>123.78</v>
      </c>
      <c r="F20" s="32">
        <v>66.25</v>
      </c>
      <c r="G20" s="32">
        <v>320.19</v>
      </c>
      <c r="H20" s="32">
        <v>154.16999999999999</v>
      </c>
      <c r="I20" s="32">
        <v>34.380000000000003</v>
      </c>
      <c r="J20" s="32"/>
      <c r="K20" s="32"/>
      <c r="L20" s="32"/>
      <c r="M20" s="32">
        <v>0</v>
      </c>
    </row>
    <row r="21" spans="1:13" ht="13.5" thickBot="1" x14ac:dyDescent="0.25">
      <c r="A21" s="27" t="s">
        <v>15</v>
      </c>
      <c r="B21" s="28">
        <f t="shared" ref="B21:I21" si="1">B19-B20</f>
        <v>1870.47</v>
      </c>
      <c r="C21" s="28">
        <f t="shared" si="1"/>
        <v>1848.5900000000001</v>
      </c>
      <c r="D21" s="28">
        <f t="shared" si="1"/>
        <v>1792.8600000000001</v>
      </c>
      <c r="E21" s="28">
        <f t="shared" si="1"/>
        <v>2848.14</v>
      </c>
      <c r="F21" s="28">
        <f t="shared" si="1"/>
        <v>1835.81</v>
      </c>
      <c r="G21" s="28">
        <f t="shared" si="1"/>
        <v>2328.64</v>
      </c>
      <c r="H21" s="28">
        <f t="shared" si="1"/>
        <v>1717.22</v>
      </c>
      <c r="I21" s="28">
        <f t="shared" si="1"/>
        <v>1717.32</v>
      </c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1870.47</v>
      </c>
      <c r="C22" s="37">
        <f>AVERAGE($B21:C21)</f>
        <v>1859.5300000000002</v>
      </c>
      <c r="D22" s="37">
        <f>AVERAGE($B21:D21)</f>
        <v>1837.3066666666666</v>
      </c>
      <c r="E22" s="37">
        <f>AVERAGE($B21:E21)</f>
        <v>2090.0149999999999</v>
      </c>
      <c r="F22" s="37">
        <f>AVERAGE($B21:F21)</f>
        <v>2039.1739999999998</v>
      </c>
      <c r="G22" s="37">
        <f>AVERAGE($B21:G21)</f>
        <v>2087.4183333333331</v>
      </c>
      <c r="H22" s="37">
        <f>AVERAGE($B21:H21)</f>
        <v>2034.5328571428568</v>
      </c>
      <c r="I22" s="37">
        <f>AVERAGE($B21:I21)</f>
        <v>1994.8812499999997</v>
      </c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I26" sqref="I26"/>
    </sheetView>
  </sheetViews>
  <sheetFormatPr defaultRowHeight="12.75" x14ac:dyDescent="0.2"/>
  <cols>
    <col min="1" max="1" width="68.140625" style="21" customWidth="1"/>
    <col min="2" max="3" width="9" style="15" bestFit="1" customWidth="1"/>
    <col min="4" max="4" width="9.140625" style="16" bestFit="1" customWidth="1"/>
    <col min="5" max="7" width="9" style="16" bestFit="1" customWidth="1"/>
    <col min="8" max="8" width="11" style="16" bestFit="1" customWidth="1"/>
    <col min="9" max="11" width="9" style="16" bestFit="1" customWidth="1"/>
    <col min="12" max="12" width="9" style="16" customWidth="1"/>
    <col min="13" max="13" width="10.2851562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58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4753.33</v>
      </c>
      <c r="C12" s="32">
        <v>4293.33</v>
      </c>
      <c r="D12" s="32">
        <v>4753.33</v>
      </c>
      <c r="E12" s="33">
        <v>4600</v>
      </c>
      <c r="F12" s="33">
        <v>4753.33</v>
      </c>
      <c r="G12" s="33">
        <v>4600</v>
      </c>
      <c r="H12" s="33">
        <v>4753.33</v>
      </c>
      <c r="I12" s="34">
        <v>4753.33</v>
      </c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2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2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2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2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G19" si="0">SUM(B5:B18)</f>
        <v>4753.33</v>
      </c>
      <c r="C19" s="28">
        <f t="shared" si="0"/>
        <v>4293.33</v>
      </c>
      <c r="D19" s="28">
        <f t="shared" si="0"/>
        <v>4753.33</v>
      </c>
      <c r="E19" s="28">
        <f t="shared" si="0"/>
        <v>4600</v>
      </c>
      <c r="F19" s="28">
        <f t="shared" si="0"/>
        <v>4753.33</v>
      </c>
      <c r="G19" s="28">
        <f t="shared" si="0"/>
        <v>4600</v>
      </c>
      <c r="H19" s="28">
        <v>4753.33</v>
      </c>
      <c r="I19" s="28">
        <v>4753.33</v>
      </c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153.33000000000001</v>
      </c>
      <c r="C20" s="32">
        <v>0.09</v>
      </c>
      <c r="D20" s="32">
        <v>153.33000000000001</v>
      </c>
      <c r="E20" s="32">
        <v>0.1</v>
      </c>
      <c r="F20" s="32">
        <v>153.33000000000001</v>
      </c>
      <c r="G20" s="32">
        <v>0.1</v>
      </c>
      <c r="H20" s="32">
        <v>153.33000000000001</v>
      </c>
      <c r="I20" s="32">
        <v>153.33000000000001</v>
      </c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I21" si="1">B19-B20</f>
        <v>4600</v>
      </c>
      <c r="C21" s="28">
        <f t="shared" si="1"/>
        <v>4293.24</v>
      </c>
      <c r="D21" s="28">
        <f t="shared" si="1"/>
        <v>4600</v>
      </c>
      <c r="E21" s="28">
        <f t="shared" si="1"/>
        <v>4599.8999999999996</v>
      </c>
      <c r="F21" s="28">
        <f t="shared" si="1"/>
        <v>4600</v>
      </c>
      <c r="G21" s="28">
        <f t="shared" si="1"/>
        <v>4599.8999999999996</v>
      </c>
      <c r="H21" s="28">
        <f t="shared" si="1"/>
        <v>4600</v>
      </c>
      <c r="I21" s="28">
        <f t="shared" si="1"/>
        <v>4600</v>
      </c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4446.62</v>
      </c>
      <c r="D22" s="37">
        <f>AVERAGE($B21:D21)</f>
        <v>4497.7466666666669</v>
      </c>
      <c r="E22" s="37">
        <f>AVERAGE($B21:E21)</f>
        <v>4523.2849999999999</v>
      </c>
      <c r="F22" s="37">
        <f>AVERAGE($B21:F21)</f>
        <v>4538.6279999999997</v>
      </c>
      <c r="G22" s="37">
        <f>AVERAGE($B21:G21)</f>
        <v>4548.84</v>
      </c>
      <c r="H22" s="37">
        <f>AVERAGE($B21:H21)</f>
        <v>4556.1485714285718</v>
      </c>
      <c r="I22" s="37">
        <f>AVERAGE($B21:I21)</f>
        <v>4561.63</v>
      </c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K11" sqref="K11"/>
    </sheetView>
  </sheetViews>
  <sheetFormatPr defaultRowHeight="12.75" x14ac:dyDescent="0.2"/>
  <cols>
    <col min="1" max="1" width="63" style="21" customWidth="1"/>
    <col min="2" max="3" width="9" style="15" bestFit="1" customWidth="1"/>
    <col min="4" max="11" width="9" style="16" bestFit="1" customWidth="1"/>
    <col min="12" max="12" width="9.42578125" style="16" customWidth="1"/>
    <col min="13" max="13" width="10.140625" style="16" customWidth="1"/>
    <col min="14" max="16384" width="9.140625" style="18"/>
  </cols>
  <sheetData>
    <row r="1" spans="1:14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4" ht="21.75" thickBot="1" x14ac:dyDescent="0.25">
      <c r="A2" s="48" t="s">
        <v>74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4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4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4" x14ac:dyDescent="0.2">
      <c r="A5" s="7" t="s">
        <v>20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/>
      <c r="H5" s="30"/>
      <c r="I5" s="30"/>
      <c r="J5" s="30"/>
      <c r="K5" s="30"/>
      <c r="L5" s="30"/>
      <c r="M5" s="30"/>
    </row>
    <row r="6" spans="1:14" x14ac:dyDescent="0.2">
      <c r="A6" s="31" t="s">
        <v>21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/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/>
      <c r="H7" s="30"/>
      <c r="I7" s="30"/>
      <c r="J7" s="30"/>
      <c r="K7" s="30"/>
      <c r="L7" s="30"/>
      <c r="M7" s="30"/>
    </row>
    <row r="8" spans="1:14" x14ac:dyDescent="0.2">
      <c r="A8" s="31" t="s">
        <v>23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/>
      <c r="H9" s="30"/>
      <c r="I9" s="30"/>
      <c r="J9" s="30"/>
      <c r="K9" s="30"/>
      <c r="L9" s="30"/>
      <c r="M9" s="30"/>
    </row>
    <row r="10" spans="1:14" x14ac:dyDescent="0.2">
      <c r="A10" s="31" t="s">
        <v>25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2">
        <v>0</v>
      </c>
      <c r="C11" s="32">
        <v>0</v>
      </c>
      <c r="D11" s="32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>
        <v>4553</v>
      </c>
      <c r="C12" s="32">
        <v>4299.5</v>
      </c>
      <c r="D12" s="32">
        <v>4553</v>
      </c>
      <c r="E12" s="32">
        <v>4553</v>
      </c>
      <c r="F12" s="33"/>
      <c r="G12" s="33">
        <v>4553</v>
      </c>
      <c r="H12" s="33">
        <v>4553</v>
      </c>
      <c r="I12" s="34">
        <v>4553</v>
      </c>
      <c r="J12" s="33"/>
      <c r="K12" s="33"/>
      <c r="L12" s="33"/>
      <c r="M12" s="33"/>
      <c r="N12" s="25"/>
    </row>
    <row r="13" spans="1:14" s="20" customFormat="1" x14ac:dyDescent="0.2">
      <c r="A13" s="8" t="s">
        <v>28</v>
      </c>
      <c r="B13" s="32">
        <v>0</v>
      </c>
      <c r="C13" s="32">
        <v>0</v>
      </c>
      <c r="D13" s="32">
        <v>0</v>
      </c>
      <c r="E13" s="30">
        <v>0</v>
      </c>
      <c r="F13" s="33">
        <v>0</v>
      </c>
      <c r="G13" s="33"/>
      <c r="H13" s="33"/>
      <c r="I13" s="33"/>
      <c r="J13" s="33"/>
      <c r="K13" s="33"/>
      <c r="L13" s="33"/>
      <c r="M13" s="33"/>
    </row>
    <row r="14" spans="1:14" s="22" customFormat="1" x14ac:dyDescent="0.2">
      <c r="A14" s="8" t="s">
        <v>29</v>
      </c>
      <c r="B14" s="32">
        <v>0</v>
      </c>
      <c r="C14" s="32">
        <v>0</v>
      </c>
      <c r="D14" s="32">
        <v>0</v>
      </c>
      <c r="E14" s="30">
        <v>0</v>
      </c>
      <c r="F14" s="33">
        <v>0</v>
      </c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/>
      <c r="C15" s="32"/>
      <c r="D15" s="32"/>
      <c r="E15" s="32"/>
      <c r="F15" s="32">
        <v>1377.5</v>
      </c>
      <c r="G15" s="32"/>
      <c r="H15" s="32"/>
      <c r="I15" s="32"/>
      <c r="J15" s="32"/>
      <c r="K15" s="32"/>
      <c r="L15" s="32"/>
      <c r="M15" s="32"/>
    </row>
    <row r="16" spans="1:14" s="20" customFormat="1" x14ac:dyDescent="0.2">
      <c r="A16" s="8" t="s">
        <v>31</v>
      </c>
      <c r="B16" s="32">
        <v>0</v>
      </c>
      <c r="C16" s="32">
        <v>0</v>
      </c>
      <c r="D16" s="32">
        <v>0</v>
      </c>
      <c r="E16" s="33">
        <v>0</v>
      </c>
      <c r="F16" s="33">
        <v>0</v>
      </c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2">
        <v>0</v>
      </c>
      <c r="E17" s="33">
        <v>0</v>
      </c>
      <c r="F17" s="33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>
        <v>0</v>
      </c>
      <c r="D18" s="35">
        <v>0</v>
      </c>
      <c r="E18" s="32">
        <v>0</v>
      </c>
      <c r="F18" s="32">
        <v>2997.5</v>
      </c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4553</v>
      </c>
      <c r="C19" s="28">
        <f t="shared" si="0"/>
        <v>4299.5</v>
      </c>
      <c r="D19" s="28">
        <f t="shared" si="0"/>
        <v>4553</v>
      </c>
      <c r="E19" s="28">
        <f t="shared" si="0"/>
        <v>4553</v>
      </c>
      <c r="F19" s="28">
        <f t="shared" si="0"/>
        <v>4375</v>
      </c>
      <c r="G19" s="28">
        <f t="shared" si="0"/>
        <v>4553</v>
      </c>
      <c r="H19" s="28">
        <f t="shared" si="0"/>
        <v>4553</v>
      </c>
      <c r="I19" s="28">
        <f t="shared" si="0"/>
        <v>4553</v>
      </c>
      <c r="J19" s="28">
        <f t="shared" si="0"/>
        <v>0</v>
      </c>
      <c r="K19" s="28">
        <f t="shared" si="0"/>
        <v>0</v>
      </c>
      <c r="L19" s="28">
        <f t="shared" si="0"/>
        <v>0</v>
      </c>
      <c r="M19" s="28">
        <f t="shared" si="0"/>
        <v>0</v>
      </c>
    </row>
    <row r="20" spans="1:13" ht="13.5" thickBot="1" x14ac:dyDescent="0.25">
      <c r="A20" s="36" t="s">
        <v>14</v>
      </c>
      <c r="B20" s="29">
        <v>0</v>
      </c>
      <c r="C20" s="32">
        <v>0</v>
      </c>
      <c r="D20" s="32">
        <v>0</v>
      </c>
      <c r="E20" s="32">
        <v>0</v>
      </c>
      <c r="F20" s="32"/>
      <c r="G20" s="32"/>
      <c r="H20" s="32"/>
      <c r="I20" s="32"/>
      <c r="J20" s="32"/>
      <c r="K20" s="32">
        <v>0</v>
      </c>
      <c r="L20" s="32">
        <v>0</v>
      </c>
      <c r="M20" s="32">
        <v>0</v>
      </c>
    </row>
    <row r="21" spans="1:13" ht="13.5" thickBot="1" x14ac:dyDescent="0.25">
      <c r="A21" s="27" t="s">
        <v>15</v>
      </c>
      <c r="B21" s="28">
        <f>B19-B20</f>
        <v>4553</v>
      </c>
      <c r="C21" s="28">
        <f t="shared" ref="C21:M21" si="1">C19-C20</f>
        <v>4299.5</v>
      </c>
      <c r="D21" s="28">
        <f t="shared" si="1"/>
        <v>4553</v>
      </c>
      <c r="E21" s="28">
        <f t="shared" si="1"/>
        <v>4553</v>
      </c>
      <c r="F21" s="28">
        <f t="shared" si="1"/>
        <v>4375</v>
      </c>
      <c r="G21" s="28">
        <f t="shared" si="1"/>
        <v>4553</v>
      </c>
      <c r="H21" s="28">
        <f t="shared" si="1"/>
        <v>4553</v>
      </c>
      <c r="I21" s="28">
        <f t="shared" si="1"/>
        <v>4553</v>
      </c>
      <c r="J21" s="28">
        <f t="shared" si="1"/>
        <v>0</v>
      </c>
      <c r="K21" s="28">
        <f t="shared" si="1"/>
        <v>0</v>
      </c>
      <c r="L21" s="28">
        <f t="shared" si="1"/>
        <v>0</v>
      </c>
      <c r="M21" s="28">
        <f t="shared" si="1"/>
        <v>0</v>
      </c>
    </row>
    <row r="22" spans="1:13" ht="13.5" thickBot="1" x14ac:dyDescent="0.25">
      <c r="A22" s="36" t="s">
        <v>12</v>
      </c>
      <c r="B22" s="37">
        <f>AVERAGE(B21)</f>
        <v>4553</v>
      </c>
      <c r="C22" s="37">
        <f>AVERAGE($B21:C21)</f>
        <v>4426.25</v>
      </c>
      <c r="D22" s="37">
        <f>AVERAGE($B21:D21)</f>
        <v>4468.5</v>
      </c>
      <c r="E22" s="37">
        <f>AVERAGE($B21:E21)</f>
        <v>4489.625</v>
      </c>
      <c r="F22" s="37">
        <f>AVERAGE($B21:F21)</f>
        <v>4466.7</v>
      </c>
      <c r="G22" s="37">
        <f>AVERAGE($B21:G21)</f>
        <v>4481.083333333333</v>
      </c>
      <c r="H22" s="37">
        <f>AVERAGE($B21:H21)</f>
        <v>4491.3571428571431</v>
      </c>
      <c r="I22" s="37">
        <f>AVERAGE($B21:I21)</f>
        <v>4499.0625</v>
      </c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I21" sqref="I21"/>
    </sheetView>
  </sheetViews>
  <sheetFormatPr defaultRowHeight="12.75" x14ac:dyDescent="0.2"/>
  <cols>
    <col min="1" max="1" width="67.85546875" style="21" customWidth="1"/>
    <col min="2" max="2" width="10.140625" style="15" customWidth="1"/>
    <col min="3" max="3" width="9" style="15" bestFit="1" customWidth="1"/>
    <col min="4" max="8" width="9" style="16" bestFit="1" customWidth="1"/>
    <col min="9" max="9" width="10" style="16" bestFit="1" customWidth="1"/>
    <col min="10" max="10" width="9" style="16" bestFit="1" customWidth="1"/>
    <col min="11" max="11" width="8.85546875" style="16" customWidth="1"/>
    <col min="12" max="12" width="9" style="16" bestFit="1" customWidth="1"/>
    <col min="13" max="13" width="9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66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6000</v>
      </c>
      <c r="C12" s="32">
        <v>5600</v>
      </c>
      <c r="D12" s="33">
        <v>6200</v>
      </c>
      <c r="E12" s="33">
        <v>6000</v>
      </c>
      <c r="F12" s="33">
        <v>6200</v>
      </c>
      <c r="G12" s="33">
        <v>6000</v>
      </c>
      <c r="H12" s="33">
        <v>6200</v>
      </c>
      <c r="I12" s="34">
        <v>6200</v>
      </c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2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/>
      <c r="C15" s="32"/>
      <c r="D15" s="32"/>
      <c r="E15" s="32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2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2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6000</v>
      </c>
      <c r="C19" s="28">
        <f t="shared" si="0"/>
        <v>5600</v>
      </c>
      <c r="D19" s="28">
        <f t="shared" si="0"/>
        <v>6200</v>
      </c>
      <c r="E19" s="28">
        <f t="shared" si="0"/>
        <v>6000</v>
      </c>
      <c r="F19" s="28">
        <f t="shared" si="0"/>
        <v>6200</v>
      </c>
      <c r="G19" s="28">
        <f t="shared" si="0"/>
        <v>6000</v>
      </c>
      <c r="H19" s="28">
        <f t="shared" si="0"/>
        <v>6200</v>
      </c>
      <c r="I19" s="28">
        <f t="shared" si="0"/>
        <v>6200</v>
      </c>
      <c r="J19" s="28">
        <f t="shared" si="0"/>
        <v>0</v>
      </c>
      <c r="K19" s="28">
        <f t="shared" si="0"/>
        <v>0</v>
      </c>
      <c r="L19" s="28">
        <f t="shared" si="0"/>
        <v>0</v>
      </c>
      <c r="M19" s="28">
        <f t="shared" si="0"/>
        <v>0</v>
      </c>
    </row>
    <row r="20" spans="1:13" ht="13.5" thickBot="1" x14ac:dyDescent="0.25">
      <c r="A20" s="36" t="s">
        <v>14</v>
      </c>
      <c r="B20" s="29">
        <v>1400</v>
      </c>
      <c r="C20" s="32">
        <v>1000</v>
      </c>
      <c r="D20" s="32">
        <v>1600</v>
      </c>
      <c r="E20" s="32">
        <v>1400</v>
      </c>
      <c r="F20" s="32">
        <v>1600</v>
      </c>
      <c r="G20" s="32">
        <v>1400</v>
      </c>
      <c r="H20" s="32">
        <v>1600</v>
      </c>
      <c r="I20" s="32">
        <v>1600</v>
      </c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I21" si="1">B19-B20</f>
        <v>4600</v>
      </c>
      <c r="C21" s="28">
        <f t="shared" si="1"/>
        <v>4600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4600</v>
      </c>
      <c r="H21" s="28">
        <f t="shared" si="1"/>
        <v>4600</v>
      </c>
      <c r="I21" s="28">
        <f t="shared" si="1"/>
        <v>4600</v>
      </c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>
        <f>AVERAGE($B21:F21)</f>
        <v>4600</v>
      </c>
      <c r="G22" s="37">
        <f>AVERAGE($B21:G21)</f>
        <v>4600</v>
      </c>
      <c r="H22" s="37">
        <f>AVERAGE($B21:H21)</f>
        <v>4600</v>
      </c>
      <c r="I22" s="37">
        <f>AVERAGE($B21:I21)</f>
        <v>4600</v>
      </c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L15" sqref="L15"/>
    </sheetView>
  </sheetViews>
  <sheetFormatPr defaultRowHeight="12.75" x14ac:dyDescent="0.2"/>
  <cols>
    <col min="1" max="1" width="59.5703125" style="21" customWidth="1"/>
    <col min="2" max="2" width="9.7109375" style="15" customWidth="1"/>
    <col min="3" max="3" width="9" style="15" bestFit="1" customWidth="1"/>
    <col min="4" max="6" width="9" style="16" bestFit="1" customWidth="1"/>
    <col min="7" max="8" width="9.5703125" style="16" bestFit="1" customWidth="1"/>
    <col min="9" max="12" width="9" style="16" bestFit="1" customWidth="1"/>
    <col min="13" max="13" width="10.140625" style="16" customWidth="1"/>
    <col min="14" max="16384" width="9.140625" style="18"/>
  </cols>
  <sheetData>
    <row r="1" spans="1:14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4" ht="21.75" thickBot="1" x14ac:dyDescent="0.25">
      <c r="A2" s="48" t="s">
        <v>42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4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4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4" x14ac:dyDescent="0.2">
      <c r="A5" s="7" t="s">
        <v>20</v>
      </c>
      <c r="B5" s="30">
        <v>1503.9</v>
      </c>
      <c r="C5" s="30">
        <v>1503.9</v>
      </c>
      <c r="D5" s="30">
        <v>1582.36</v>
      </c>
      <c r="E5" s="30">
        <v>1503.9</v>
      </c>
      <c r="F5" s="30">
        <v>1582.36</v>
      </c>
      <c r="G5" s="30">
        <v>1582.36</v>
      </c>
      <c r="H5" s="30">
        <v>1611.58</v>
      </c>
      <c r="I5" s="30">
        <v>1611.58</v>
      </c>
      <c r="J5" s="30"/>
      <c r="K5" s="30"/>
      <c r="L5" s="30"/>
      <c r="M5" s="30"/>
    </row>
    <row r="6" spans="1:14" x14ac:dyDescent="0.2">
      <c r="A6" s="31" t="s">
        <v>21</v>
      </c>
      <c r="B6" s="30">
        <v>469.16</v>
      </c>
      <c r="C6" s="30">
        <v>477.48</v>
      </c>
      <c r="D6" s="30">
        <v>482.3</v>
      </c>
      <c r="E6" s="30">
        <f>482.3+248</f>
        <v>730.3</v>
      </c>
      <c r="F6" s="30">
        <v>477.48</v>
      </c>
      <c r="G6" s="30">
        <v>477.48</v>
      </c>
      <c r="H6" s="30">
        <v>477.48</v>
      </c>
      <c r="I6" s="30">
        <v>477.48</v>
      </c>
      <c r="J6" s="30"/>
      <c r="K6" s="30"/>
      <c r="L6" s="30"/>
      <c r="M6" s="30"/>
    </row>
    <row r="7" spans="1:14" x14ac:dyDescent="0.2">
      <c r="A7" s="31" t="s">
        <v>22</v>
      </c>
      <c r="B7" s="30">
        <v>426.99</v>
      </c>
      <c r="C7" s="30">
        <v>466.12</v>
      </c>
      <c r="D7" s="30">
        <v>464.59</v>
      </c>
      <c r="E7" s="30">
        <v>561.52</v>
      </c>
      <c r="F7" s="30">
        <v>540.75</v>
      </c>
      <c r="G7" s="30">
        <v>541.61</v>
      </c>
      <c r="H7" s="30">
        <v>434.11</v>
      </c>
      <c r="I7" s="30">
        <v>381.62</v>
      </c>
      <c r="J7" s="30"/>
      <c r="K7" s="30"/>
      <c r="L7" s="30"/>
      <c r="M7" s="30"/>
    </row>
    <row r="8" spans="1:14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>
        <v>78.459999999999994</v>
      </c>
      <c r="D9" s="30"/>
      <c r="E9" s="30">
        <v>78.459999999999994</v>
      </c>
      <c r="F9" s="30"/>
      <c r="G9" s="30"/>
      <c r="H9" s="30"/>
      <c r="I9" s="30"/>
      <c r="J9" s="30"/>
      <c r="K9" s="30"/>
      <c r="L9" s="30"/>
      <c r="M9" s="30"/>
    </row>
    <row r="10" spans="1:14" x14ac:dyDescent="0.2">
      <c r="A10" s="31" t="s">
        <v>25</v>
      </c>
      <c r="B10" s="30">
        <v>1281.3800000000001</v>
      </c>
      <c r="C10" s="30">
        <f>425+335.02+605.65</f>
        <v>1365.67</v>
      </c>
      <c r="D10" s="30">
        <f>593.93+342.82+425</f>
        <v>1361.75</v>
      </c>
      <c r="E10" s="30">
        <f>602.93+425+371.38</f>
        <v>1399.31</v>
      </c>
      <c r="F10" s="30">
        <f>425+610.91+372.23</f>
        <v>1408.1399999999999</v>
      </c>
      <c r="G10" s="30">
        <f>425+290.3+375.91</f>
        <v>1091.21</v>
      </c>
      <c r="H10" s="30">
        <v>644.99</v>
      </c>
      <c r="I10" s="30">
        <f>166.77+425+372.4+252.17+435.13</f>
        <v>1651.4699999999998</v>
      </c>
      <c r="J10" s="30"/>
      <c r="K10" s="30"/>
      <c r="L10" s="30"/>
      <c r="M10" s="30"/>
    </row>
    <row r="11" spans="1:14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>
        <v>0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spans="1:14" s="20" customFormat="1" x14ac:dyDescent="0.2">
      <c r="A13" s="8" t="s">
        <v>28</v>
      </c>
      <c r="B13" s="32">
        <v>0</v>
      </c>
      <c r="C13" s="32"/>
      <c r="D13" s="32"/>
      <c r="E13" s="30"/>
      <c r="F13" s="33"/>
      <c r="G13" s="33"/>
      <c r="H13" s="33"/>
      <c r="I13" s="33"/>
      <c r="J13" s="33"/>
      <c r="K13" s="33"/>
      <c r="L13" s="33"/>
      <c r="M13" s="33"/>
    </row>
    <row r="14" spans="1:14" s="22" customFormat="1" x14ac:dyDescent="0.2">
      <c r="A14" s="8" t="s">
        <v>29</v>
      </c>
      <c r="B14" s="32">
        <v>0</v>
      </c>
      <c r="C14" s="32"/>
      <c r="D14" s="32"/>
      <c r="E14" s="30"/>
      <c r="F14" s="33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178.95</v>
      </c>
      <c r="C15" s="32"/>
      <c r="D15" s="32">
        <f>92.46+119.3</f>
        <v>211.76</v>
      </c>
      <c r="E15" s="32"/>
      <c r="F15" s="32">
        <v>19.899999999999999</v>
      </c>
      <c r="G15" s="32"/>
      <c r="H15" s="32">
        <v>44</v>
      </c>
      <c r="I15" s="32">
        <v>48.5</v>
      </c>
      <c r="J15" s="32"/>
      <c r="K15" s="32"/>
      <c r="L15" s="32"/>
      <c r="M15" s="32"/>
    </row>
    <row r="16" spans="1:14" s="20" customFormat="1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  <c r="N16" s="6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8" t="s">
        <v>33</v>
      </c>
      <c r="B18" s="32"/>
      <c r="C18" s="32"/>
      <c r="D18" s="33">
        <v>250</v>
      </c>
      <c r="E18" s="30"/>
      <c r="F18" s="33"/>
      <c r="G18" s="33"/>
      <c r="H18" s="33"/>
      <c r="I18" s="33"/>
      <c r="J18" s="33"/>
      <c r="K18" s="33"/>
      <c r="L18" s="33"/>
      <c r="M18" s="33"/>
    </row>
    <row r="19" spans="1:13" ht="13.5" thickBot="1" x14ac:dyDescent="0.25">
      <c r="A19" s="27" t="s">
        <v>34</v>
      </c>
      <c r="B19" s="28">
        <f t="shared" ref="B19:I19" si="0">SUM(B5:B18)</f>
        <v>3860.38</v>
      </c>
      <c r="C19" s="28">
        <f t="shared" si="0"/>
        <v>3891.63</v>
      </c>
      <c r="D19" s="28">
        <f t="shared" si="0"/>
        <v>4352.76</v>
      </c>
      <c r="E19" s="28">
        <f t="shared" si="0"/>
        <v>4273.49</v>
      </c>
      <c r="F19" s="28">
        <f t="shared" si="0"/>
        <v>4028.63</v>
      </c>
      <c r="G19" s="28">
        <f t="shared" si="0"/>
        <v>3692.6600000000003</v>
      </c>
      <c r="H19" s="28">
        <f t="shared" si="0"/>
        <v>3212.16</v>
      </c>
      <c r="I19" s="28">
        <f t="shared" si="0"/>
        <v>4170.6499999999996</v>
      </c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178.95</v>
      </c>
      <c r="C20" s="32"/>
      <c r="D20" s="32">
        <v>92.46</v>
      </c>
      <c r="E20" s="32">
        <v>9.7899999999999991</v>
      </c>
      <c r="F20" s="32"/>
      <c r="G20" s="32"/>
      <c r="H20" s="32"/>
      <c r="I20" s="32">
        <v>18.98</v>
      </c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I21" si="1">B19-B20</f>
        <v>3681.4300000000003</v>
      </c>
      <c r="C21" s="28">
        <f t="shared" si="1"/>
        <v>3891.63</v>
      </c>
      <c r="D21" s="28">
        <f t="shared" si="1"/>
        <v>4260.3</v>
      </c>
      <c r="E21" s="28">
        <f t="shared" si="1"/>
        <v>4263.7</v>
      </c>
      <c r="F21" s="28">
        <f t="shared" si="1"/>
        <v>4028.63</v>
      </c>
      <c r="G21" s="28">
        <f t="shared" si="1"/>
        <v>3692.6600000000003</v>
      </c>
      <c r="H21" s="28">
        <f t="shared" si="1"/>
        <v>3212.16</v>
      </c>
      <c r="I21" s="28">
        <f t="shared" si="1"/>
        <v>4151.67</v>
      </c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3681.4300000000003</v>
      </c>
      <c r="C22" s="37">
        <f>AVERAGE($B21:C21)</f>
        <v>3786.53</v>
      </c>
      <c r="D22" s="37">
        <f>AVERAGE($B21:D21)</f>
        <v>3944.4533333333334</v>
      </c>
      <c r="E22" s="37">
        <f>AVERAGE($B21:E21)</f>
        <v>4024.2650000000003</v>
      </c>
      <c r="F22" s="37">
        <f>AVERAGE($B21:F21)</f>
        <v>4025.1380000000004</v>
      </c>
      <c r="G22" s="37">
        <f>AVERAGE($B21:G21)</f>
        <v>3969.7250000000004</v>
      </c>
      <c r="H22" s="37">
        <f>AVERAGE($B21:H21)</f>
        <v>3861.5014285714287</v>
      </c>
      <c r="I22" s="37">
        <f>AVERAGE($B21:I21)</f>
        <v>3897.7725</v>
      </c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zoomScaleNormal="100" workbookViewId="0">
      <selection activeCell="N11" sqref="N11"/>
    </sheetView>
  </sheetViews>
  <sheetFormatPr defaultRowHeight="12.75" x14ac:dyDescent="0.2"/>
  <cols>
    <col min="1" max="1" width="58.28515625" style="21" customWidth="1"/>
    <col min="2" max="2" width="9.7109375" style="15" customWidth="1"/>
    <col min="3" max="3" width="9" style="15" bestFit="1" customWidth="1"/>
    <col min="4" max="11" width="9" style="16" bestFit="1" customWidth="1"/>
    <col min="12" max="12" width="8.85546875" style="16" customWidth="1"/>
    <col min="13" max="13" width="10.14062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17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3150</v>
      </c>
      <c r="C5" s="30">
        <v>3150</v>
      </c>
      <c r="D5" s="30">
        <v>3150</v>
      </c>
      <c r="E5" s="30">
        <v>3150</v>
      </c>
      <c r="F5" s="30"/>
      <c r="G5" s="30">
        <v>3150</v>
      </c>
      <c r="H5" s="30">
        <v>3150</v>
      </c>
      <c r="I5" s="30">
        <v>3150</v>
      </c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236.87</v>
      </c>
      <c r="C10" s="30">
        <v>234.89</v>
      </c>
      <c r="D10" s="30">
        <v>209.54</v>
      </c>
      <c r="E10" s="30">
        <v>259</v>
      </c>
      <c r="F10" s="30"/>
      <c r="G10" s="30">
        <f>194.95+190.07</f>
        <v>385.02</v>
      </c>
      <c r="H10" s="30">
        <v>322.89999999999998</v>
      </c>
      <c r="I10" s="30">
        <f>151.31+198.4</f>
        <v>349.71000000000004</v>
      </c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0</v>
      </c>
      <c r="C12" s="32"/>
      <c r="D12" s="32"/>
      <c r="E12" s="32"/>
      <c r="F12" s="32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2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2"/>
      <c r="F14" s="32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150.69999999999999</v>
      </c>
      <c r="C15" s="32">
        <v>119.51</v>
      </c>
      <c r="D15" s="32">
        <f>150+17.5+105</f>
        <v>272.5</v>
      </c>
      <c r="E15" s="32">
        <f>19.9+19.9+91.85+22.5</f>
        <v>154.14999999999998</v>
      </c>
      <c r="F15" s="32"/>
      <c r="G15" s="32">
        <f>24.8+22.8+24.8+22.8+22.8+150</f>
        <v>268</v>
      </c>
      <c r="H15" s="32">
        <v>271.75</v>
      </c>
      <c r="I15" s="32">
        <f>57.81+22.8+227.64+154+40</f>
        <v>502.25</v>
      </c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2"/>
      <c r="F16" s="32"/>
      <c r="G16" s="33"/>
      <c r="H16" s="33"/>
      <c r="I16" s="33"/>
      <c r="J16" s="33"/>
      <c r="K16" s="33"/>
      <c r="L16" s="33"/>
      <c r="M16" s="33"/>
    </row>
    <row r="17" spans="1:14" x14ac:dyDescent="0.2">
      <c r="A17" s="8" t="s">
        <v>32</v>
      </c>
      <c r="B17" s="32">
        <v>0</v>
      </c>
      <c r="C17" s="32"/>
      <c r="D17" s="32"/>
      <c r="E17" s="32"/>
      <c r="F17" s="32"/>
      <c r="G17" s="33"/>
      <c r="H17" s="33"/>
      <c r="I17" s="33"/>
      <c r="J17" s="33"/>
      <c r="K17" s="33"/>
      <c r="L17" s="33"/>
      <c r="M17" s="33"/>
    </row>
    <row r="18" spans="1:14" ht="13.5" thickBot="1" x14ac:dyDescent="0.25">
      <c r="A18" s="14" t="s">
        <v>33</v>
      </c>
      <c r="B18" s="35">
        <v>0</v>
      </c>
      <c r="C18" s="35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4" ht="13.5" thickBot="1" x14ac:dyDescent="0.25">
      <c r="A19" s="27" t="s">
        <v>34</v>
      </c>
      <c r="B19" s="28">
        <f>SUM(B5:B18)</f>
        <v>3537.5699999999997</v>
      </c>
      <c r="C19" s="28">
        <f>SUM(C5:C18)</f>
        <v>3504.4</v>
      </c>
      <c r="D19" s="28">
        <f>SUM(D5:D18)</f>
        <v>3632.04</v>
      </c>
      <c r="E19" s="28">
        <f>SUM(E5:E18)</f>
        <v>3563.15</v>
      </c>
      <c r="F19" s="28" t="s">
        <v>35</v>
      </c>
      <c r="G19" s="28">
        <f>SUM(G5:G18)</f>
        <v>3803.02</v>
      </c>
      <c r="H19" s="28">
        <f t="shared" ref="H19:I19" si="0">SUM(H5:H18)</f>
        <v>3744.65</v>
      </c>
      <c r="I19" s="28">
        <f t="shared" si="0"/>
        <v>4001.96</v>
      </c>
      <c r="J19" s="28"/>
      <c r="K19" s="28"/>
      <c r="L19" s="28"/>
      <c r="M19" s="28"/>
      <c r="N19" s="18" t="s">
        <v>38</v>
      </c>
    </row>
    <row r="20" spans="1:14" ht="13.5" thickBot="1" x14ac:dyDescent="0.25">
      <c r="A20" s="36" t="s">
        <v>14</v>
      </c>
      <c r="B20" s="29">
        <v>0</v>
      </c>
      <c r="C20" s="32">
        <v>4.6500000000000004</v>
      </c>
      <c r="D20" s="32">
        <f>17.5+4.67</f>
        <v>22.17</v>
      </c>
      <c r="E20" s="32"/>
      <c r="F20" s="32"/>
      <c r="G20" s="32">
        <v>0.5</v>
      </c>
      <c r="H20" s="32">
        <v>40</v>
      </c>
      <c r="I20" s="32">
        <v>72.709999999999994</v>
      </c>
      <c r="J20" s="32"/>
      <c r="K20" s="32"/>
      <c r="L20" s="32"/>
      <c r="M20" s="32"/>
    </row>
    <row r="21" spans="1:14" ht="13.5" thickBot="1" x14ac:dyDescent="0.25">
      <c r="A21" s="27" t="s">
        <v>15</v>
      </c>
      <c r="B21" s="28">
        <f>B19-B20</f>
        <v>3537.5699999999997</v>
      </c>
      <c r="C21" s="28">
        <f>C19-C20</f>
        <v>3499.75</v>
      </c>
      <c r="D21" s="28">
        <f>D19-D20</f>
        <v>3609.87</v>
      </c>
      <c r="E21" s="28">
        <f>E19-E20</f>
        <v>3563.15</v>
      </c>
      <c r="F21" s="28">
        <v>0</v>
      </c>
      <c r="G21" s="28">
        <f>G19-G20</f>
        <v>3802.52</v>
      </c>
      <c r="H21" s="28">
        <f>H19-H20</f>
        <v>3704.65</v>
      </c>
      <c r="I21" s="28">
        <f>I19-I20</f>
        <v>3929.25</v>
      </c>
      <c r="J21" s="28"/>
      <c r="K21" s="28"/>
      <c r="L21" s="28"/>
      <c r="M21" s="28"/>
    </row>
    <row r="22" spans="1:14" ht="13.5" thickBot="1" x14ac:dyDescent="0.25">
      <c r="A22" s="36" t="s">
        <v>12</v>
      </c>
      <c r="B22" s="37">
        <f>AVERAGE(B21)</f>
        <v>3537.5699999999997</v>
      </c>
      <c r="C22" s="37">
        <f>AVERAGE($B21:C21)</f>
        <v>3518.66</v>
      </c>
      <c r="D22" s="37">
        <f>AVERAGE($B21:D21)</f>
        <v>3549.063333333333</v>
      </c>
      <c r="E22" s="37">
        <f>AVERAGE($B21:E21)</f>
        <v>3552.5849999999996</v>
      </c>
      <c r="F22" s="37">
        <f>AVERAGE($B21:F21)</f>
        <v>2842.0679999999998</v>
      </c>
      <c r="G22" s="37">
        <f>AVERAGE($B21:G21)</f>
        <v>3002.143333333333</v>
      </c>
      <c r="H22" s="37">
        <f>AVERAGE($B21:H21)</f>
        <v>3102.5014285714283</v>
      </c>
      <c r="I22" s="37">
        <f>AVERAGE($B21:I21)</f>
        <v>3205.8449999999998</v>
      </c>
      <c r="J22" s="37"/>
      <c r="K22" s="37"/>
      <c r="L22" s="37"/>
      <c r="M22" s="37"/>
    </row>
    <row r="23" spans="1:14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4" ht="15" x14ac:dyDescent="0.25">
      <c r="A24"/>
    </row>
    <row r="25" spans="1:14" x14ac:dyDescent="0.2">
      <c r="E25" s="16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L27" sqref="L27"/>
    </sheetView>
  </sheetViews>
  <sheetFormatPr defaultRowHeight="12.75" x14ac:dyDescent="0.2"/>
  <cols>
    <col min="1" max="1" width="62" style="21" customWidth="1"/>
    <col min="2" max="2" width="10" style="15" customWidth="1"/>
    <col min="3" max="3" width="9" style="15" bestFit="1" customWidth="1"/>
    <col min="4" max="8" width="9" style="16" bestFit="1" customWidth="1"/>
    <col min="9" max="9" width="9" style="16" customWidth="1"/>
    <col min="10" max="12" width="9" style="16" bestFit="1" customWidth="1"/>
    <col min="13" max="13" width="9.8554687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46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2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 t="s">
        <v>17</v>
      </c>
      <c r="C6" s="30"/>
      <c r="D6" s="30"/>
      <c r="E6" s="30"/>
      <c r="F6" s="32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2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2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2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2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1950</v>
      </c>
      <c r="C12" s="32">
        <v>1820</v>
      </c>
      <c r="D12" s="33">
        <v>1950</v>
      </c>
      <c r="E12" s="33">
        <v>1950</v>
      </c>
      <c r="F12" s="33">
        <v>1950</v>
      </c>
      <c r="G12" s="33">
        <v>1950</v>
      </c>
      <c r="H12" s="33">
        <v>1950</v>
      </c>
      <c r="I12" s="34">
        <v>1950</v>
      </c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3">
        <f>975.05+124.95</f>
        <v>1100</v>
      </c>
      <c r="F13" s="32">
        <f>233.44+216.56</f>
        <v>450</v>
      </c>
      <c r="G13" s="33">
        <v>1439.6</v>
      </c>
      <c r="H13" s="33"/>
      <c r="I13" s="33">
        <f>1016.8+690</f>
        <v>1706.8</v>
      </c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2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2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2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2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I19" si="0">SUM(B5:B18)</f>
        <v>1950</v>
      </c>
      <c r="C19" s="28">
        <f t="shared" si="0"/>
        <v>1820</v>
      </c>
      <c r="D19" s="28">
        <f t="shared" si="0"/>
        <v>1950</v>
      </c>
      <c r="E19" s="28">
        <f t="shared" si="0"/>
        <v>3050</v>
      </c>
      <c r="F19" s="28">
        <f t="shared" si="0"/>
        <v>2400</v>
      </c>
      <c r="G19" s="28">
        <f t="shared" si="0"/>
        <v>3389.6</v>
      </c>
      <c r="H19" s="28">
        <f t="shared" si="0"/>
        <v>1950</v>
      </c>
      <c r="I19" s="28">
        <f t="shared" si="0"/>
        <v>3656.8</v>
      </c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29">
        <v>0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I21" si="1">B19-B20</f>
        <v>1950</v>
      </c>
      <c r="C21" s="28">
        <f t="shared" si="1"/>
        <v>1820</v>
      </c>
      <c r="D21" s="28">
        <f t="shared" si="1"/>
        <v>1950</v>
      </c>
      <c r="E21" s="28">
        <f t="shared" si="1"/>
        <v>3050</v>
      </c>
      <c r="F21" s="28">
        <f t="shared" si="1"/>
        <v>2400</v>
      </c>
      <c r="G21" s="28">
        <f t="shared" si="1"/>
        <v>3389.6</v>
      </c>
      <c r="H21" s="28">
        <f t="shared" si="1"/>
        <v>1950</v>
      </c>
      <c r="I21" s="28">
        <f t="shared" si="1"/>
        <v>3656.8</v>
      </c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1950</v>
      </c>
      <c r="C22" s="37">
        <f>AVERAGE($B21:C21)</f>
        <v>1885</v>
      </c>
      <c r="D22" s="37">
        <f>AVERAGE($B21:D21)</f>
        <v>1906.6666666666667</v>
      </c>
      <c r="E22" s="37">
        <f>AVERAGE($B21:E21)</f>
        <v>2192.5</v>
      </c>
      <c r="F22" s="37">
        <f>AVERAGE($B21:F21)</f>
        <v>2234</v>
      </c>
      <c r="G22" s="37">
        <f>AVERAGE($B21:G21)</f>
        <v>2426.6</v>
      </c>
      <c r="H22" s="37">
        <f>AVERAGE($B21:H21)</f>
        <v>2358.5142857142855</v>
      </c>
      <c r="I22" s="37">
        <f>AVERAGE($B21:I21)</f>
        <v>2520.7999999999997</v>
      </c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J26" sqref="J26"/>
    </sheetView>
  </sheetViews>
  <sheetFormatPr defaultRowHeight="12.75" x14ac:dyDescent="0.2"/>
  <cols>
    <col min="1" max="1" width="65.28515625" style="21" customWidth="1"/>
    <col min="2" max="2" width="9.7109375" style="15" customWidth="1"/>
    <col min="3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60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4699.91</v>
      </c>
      <c r="C12" s="30">
        <v>4245</v>
      </c>
      <c r="D12" s="30">
        <v>4699.91</v>
      </c>
      <c r="E12" s="33">
        <f>2613+1935.3</f>
        <v>4548.3</v>
      </c>
      <c r="F12" s="33">
        <f>2700.1+1999.81</f>
        <v>4699.91</v>
      </c>
      <c r="G12" s="33">
        <v>4699.91</v>
      </c>
      <c r="H12" s="33">
        <v>4699.91</v>
      </c>
      <c r="I12" s="34">
        <f>2700.1+1999.81</f>
        <v>4699.91</v>
      </c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/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/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0"/>
      <c r="D18" s="32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I19" si="0">SUM(B5:B18)</f>
        <v>4699.91</v>
      </c>
      <c r="C19" s="28">
        <f t="shared" si="0"/>
        <v>4245</v>
      </c>
      <c r="D19" s="28">
        <f t="shared" si="0"/>
        <v>4699.91</v>
      </c>
      <c r="E19" s="28">
        <f t="shared" si="0"/>
        <v>4548.3</v>
      </c>
      <c r="F19" s="28">
        <f t="shared" si="0"/>
        <v>4699.91</v>
      </c>
      <c r="G19" s="28">
        <f t="shared" si="0"/>
        <v>4699.91</v>
      </c>
      <c r="H19" s="28">
        <f t="shared" si="0"/>
        <v>4699.91</v>
      </c>
      <c r="I19" s="28">
        <f t="shared" si="0"/>
        <v>4699.91</v>
      </c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99.91</v>
      </c>
      <c r="C20" s="32"/>
      <c r="D20" s="32">
        <v>99.91</v>
      </c>
      <c r="E20" s="32"/>
      <c r="F20" s="32">
        <v>99.91</v>
      </c>
      <c r="G20" s="32">
        <v>99.91</v>
      </c>
      <c r="H20" s="32">
        <v>99.91</v>
      </c>
      <c r="I20" s="32">
        <v>99.91</v>
      </c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I21" si="1">B19-B20</f>
        <v>4600</v>
      </c>
      <c r="C21" s="28">
        <f t="shared" si="1"/>
        <v>4245</v>
      </c>
      <c r="D21" s="28">
        <f t="shared" si="1"/>
        <v>4600</v>
      </c>
      <c r="E21" s="28">
        <f t="shared" si="1"/>
        <v>4548.3</v>
      </c>
      <c r="F21" s="28">
        <f t="shared" si="1"/>
        <v>4600</v>
      </c>
      <c r="G21" s="28">
        <f t="shared" si="1"/>
        <v>4600</v>
      </c>
      <c r="H21" s="28">
        <f t="shared" si="1"/>
        <v>4600</v>
      </c>
      <c r="I21" s="28">
        <f t="shared" si="1"/>
        <v>4600</v>
      </c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4422.5</v>
      </c>
      <c r="D22" s="37">
        <f>AVERAGE($B21:D21)</f>
        <v>4481.666666666667</v>
      </c>
      <c r="E22" s="37">
        <f>AVERAGE($B21:E21)</f>
        <v>4498.3249999999998</v>
      </c>
      <c r="F22" s="37">
        <f>AVERAGE($B21:F21)</f>
        <v>4518.66</v>
      </c>
      <c r="G22" s="37">
        <f>AVERAGE($B21:G21)</f>
        <v>4532.2166666666662</v>
      </c>
      <c r="H22" s="37">
        <f>AVERAGE($B21:H21)</f>
        <v>4541.8999999999996</v>
      </c>
      <c r="I22" s="37">
        <f>AVERAGE($B21:I21)</f>
        <v>4549.1625000000004</v>
      </c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Normal="100" workbookViewId="0">
      <selection activeCell="I23" sqref="I23"/>
    </sheetView>
  </sheetViews>
  <sheetFormatPr defaultRowHeight="12.75" x14ac:dyDescent="0.2"/>
  <cols>
    <col min="1" max="1" width="52.28515625" style="21" customWidth="1"/>
    <col min="2" max="2" width="11.7109375" style="15" customWidth="1"/>
    <col min="3" max="3" width="9" style="15" bestFit="1" customWidth="1"/>
    <col min="4" max="6" width="9" style="16" bestFit="1" customWidth="1"/>
    <col min="7" max="7" width="9.140625" style="16" customWidth="1"/>
    <col min="8" max="8" width="9.7109375" style="16" customWidth="1"/>
    <col min="9" max="9" width="9.85546875" style="16" customWidth="1"/>
    <col min="10" max="10" width="9" style="16" bestFit="1" customWidth="1"/>
    <col min="11" max="11" width="9.85546875" style="16" customWidth="1"/>
    <col min="12" max="12" width="9.28515625" style="16" customWidth="1"/>
    <col min="13" max="13" width="9.570312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50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0">
        <v>5683.23</v>
      </c>
      <c r="C12" s="30">
        <v>5133.24</v>
      </c>
      <c r="D12" s="30">
        <v>5683.23</v>
      </c>
      <c r="E12" s="30">
        <v>5500</v>
      </c>
      <c r="F12" s="30">
        <v>5683.33</v>
      </c>
      <c r="G12" s="33">
        <v>5500</v>
      </c>
      <c r="H12" s="33">
        <v>5683.33</v>
      </c>
      <c r="I12" s="34">
        <v>5683.33</v>
      </c>
      <c r="J12" s="33"/>
      <c r="K12" s="33"/>
      <c r="L12" s="33"/>
      <c r="M12" s="33"/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ht="25.5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I19" si="0">SUM(B5:B18)</f>
        <v>5683.23</v>
      </c>
      <c r="C19" s="28">
        <f t="shared" si="0"/>
        <v>5133.24</v>
      </c>
      <c r="D19" s="28">
        <f t="shared" si="0"/>
        <v>5683.23</v>
      </c>
      <c r="E19" s="28">
        <f t="shared" si="0"/>
        <v>5500</v>
      </c>
      <c r="F19" s="28">
        <f t="shared" si="0"/>
        <v>5683.33</v>
      </c>
      <c r="G19" s="28">
        <f t="shared" si="0"/>
        <v>5500</v>
      </c>
      <c r="H19" s="28">
        <f t="shared" si="0"/>
        <v>5683.33</v>
      </c>
      <c r="I19" s="28">
        <f t="shared" si="0"/>
        <v>5683.33</v>
      </c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1083.23</v>
      </c>
      <c r="C20" s="32">
        <v>533.24</v>
      </c>
      <c r="D20" s="32">
        <v>1083.23</v>
      </c>
      <c r="E20" s="32">
        <v>900</v>
      </c>
      <c r="F20" s="32">
        <v>1083.33</v>
      </c>
      <c r="G20" s="32">
        <v>900</v>
      </c>
      <c r="H20" s="32">
        <v>1083.33</v>
      </c>
      <c r="I20" s="32">
        <v>1083.33</v>
      </c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I21" si="1">B19-B20</f>
        <v>4600</v>
      </c>
      <c r="C21" s="28">
        <f t="shared" si="1"/>
        <v>4600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4600</v>
      </c>
      <c r="H21" s="28">
        <f t="shared" si="1"/>
        <v>4600</v>
      </c>
      <c r="I21" s="28">
        <f t="shared" si="1"/>
        <v>4600</v>
      </c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>
        <f>AVERAGE($B21:F21)</f>
        <v>4600</v>
      </c>
      <c r="G22" s="37">
        <f>AVERAGE($B21:G21)</f>
        <v>4600</v>
      </c>
      <c r="H22" s="37">
        <f>AVERAGE($B21:H21)</f>
        <v>4600</v>
      </c>
      <c r="I22" s="37">
        <f>AVERAGE($B21:I21)</f>
        <v>4600</v>
      </c>
      <c r="J22" s="37"/>
      <c r="K22" s="37"/>
      <c r="L22" s="37"/>
      <c r="M22" s="37"/>
    </row>
    <row r="23" spans="1:13" ht="13.5" thickBot="1" x14ac:dyDescent="0.25">
      <c r="A23" s="38" t="s">
        <v>13</v>
      </c>
      <c r="B23" s="39" t="s">
        <v>17</v>
      </c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5" spans="1:13" x14ac:dyDescent="0.2">
      <c r="B25" s="15" t="s">
        <v>51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4" zoomScaleNormal="100" workbookViewId="0">
      <selection activeCell="K15" sqref="K15"/>
    </sheetView>
  </sheetViews>
  <sheetFormatPr defaultRowHeight="15" x14ac:dyDescent="0.25"/>
  <cols>
    <col min="1" max="1" width="64.85546875" customWidth="1"/>
    <col min="2" max="2" width="11" customWidth="1"/>
    <col min="3" max="3" width="9.140625" customWidth="1"/>
    <col min="4" max="4" width="9" bestFit="1" customWidth="1"/>
  </cols>
  <sheetData>
    <row r="1" spans="1:13" ht="21.75" thickBot="1" x14ac:dyDescent="0.3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3">
      <c r="A2" s="48" t="s">
        <v>44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x14ac:dyDescent="0.25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x14ac:dyDescent="0.25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5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2">
        <v>3720</v>
      </c>
      <c r="C12" s="32">
        <v>3360</v>
      </c>
      <c r="D12" s="33">
        <v>3720</v>
      </c>
      <c r="E12" s="30">
        <v>3600</v>
      </c>
      <c r="F12" s="33">
        <v>3720</v>
      </c>
      <c r="G12" s="33">
        <v>3600</v>
      </c>
      <c r="H12" s="33">
        <v>3720</v>
      </c>
      <c r="I12" s="33">
        <v>3720</v>
      </c>
      <c r="J12" s="33"/>
      <c r="K12" s="33"/>
      <c r="L12" s="33"/>
      <c r="M12" s="33"/>
    </row>
    <row r="13" spans="1:13" x14ac:dyDescent="0.25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5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>
        <f t="shared" ref="B19:I19" si="0">SUM(B5:B18)</f>
        <v>3720</v>
      </c>
      <c r="C19" s="28">
        <f t="shared" si="0"/>
        <v>3360</v>
      </c>
      <c r="D19" s="28">
        <f t="shared" si="0"/>
        <v>3720</v>
      </c>
      <c r="E19" s="28">
        <f t="shared" si="0"/>
        <v>3600</v>
      </c>
      <c r="F19" s="28">
        <f t="shared" si="0"/>
        <v>3720</v>
      </c>
      <c r="G19" s="28">
        <f t="shared" si="0"/>
        <v>3600</v>
      </c>
      <c r="H19" s="28">
        <f t="shared" si="0"/>
        <v>3720</v>
      </c>
      <c r="I19" s="28">
        <f t="shared" si="0"/>
        <v>3720</v>
      </c>
      <c r="J19" s="28"/>
      <c r="K19" s="28"/>
      <c r="L19" s="28"/>
      <c r="M19" s="28"/>
    </row>
    <row r="20" spans="1:13" ht="15.75" thickBot="1" x14ac:dyDescent="0.3">
      <c r="A20" s="36" t="s">
        <v>14</v>
      </c>
      <c r="B20" s="32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5.75" thickBot="1" x14ac:dyDescent="0.3">
      <c r="A21" s="27" t="s">
        <v>15</v>
      </c>
      <c r="B21" s="28">
        <f t="shared" ref="B21:I21" si="1">B19-B20</f>
        <v>3720</v>
      </c>
      <c r="C21" s="28">
        <f t="shared" si="1"/>
        <v>3360</v>
      </c>
      <c r="D21" s="28">
        <f t="shared" si="1"/>
        <v>3720</v>
      </c>
      <c r="E21" s="28">
        <f t="shared" si="1"/>
        <v>3600</v>
      </c>
      <c r="F21" s="28">
        <f t="shared" si="1"/>
        <v>3720</v>
      </c>
      <c r="G21" s="28">
        <f t="shared" si="1"/>
        <v>3600</v>
      </c>
      <c r="H21" s="28">
        <f t="shared" si="1"/>
        <v>3720</v>
      </c>
      <c r="I21" s="28">
        <f t="shared" si="1"/>
        <v>3720</v>
      </c>
      <c r="J21" s="28"/>
      <c r="K21" s="28"/>
      <c r="L21" s="28"/>
      <c r="M21" s="28"/>
    </row>
    <row r="22" spans="1:13" ht="15.75" thickBot="1" x14ac:dyDescent="0.3">
      <c r="A22" s="36" t="s">
        <v>12</v>
      </c>
      <c r="B22" s="37">
        <f>AVERAGE(B21)</f>
        <v>3720</v>
      </c>
      <c r="C22" s="37">
        <f>AVERAGE($B21:C21)</f>
        <v>3540</v>
      </c>
      <c r="D22" s="37">
        <f>AVERAGE($B21:D21)</f>
        <v>3600</v>
      </c>
      <c r="E22" s="37">
        <f>AVERAGE($B21:E21)</f>
        <v>3600</v>
      </c>
      <c r="F22" s="37">
        <f>AVERAGE($B21:F21)</f>
        <v>3624</v>
      </c>
      <c r="G22" s="37">
        <f>AVERAGE($B21:G21)</f>
        <v>3620</v>
      </c>
      <c r="H22" s="37">
        <f>AVERAGE($B21:H21)</f>
        <v>3634.2857142857142</v>
      </c>
      <c r="I22" s="37">
        <f>AVERAGE($B21:I21)</f>
        <v>3645</v>
      </c>
      <c r="J22" s="37"/>
      <c r="K22" s="37"/>
      <c r="L22" s="37"/>
      <c r="M22" s="37"/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I23" sqref="I23"/>
    </sheetView>
  </sheetViews>
  <sheetFormatPr defaultRowHeight="12.75" x14ac:dyDescent="0.2"/>
  <cols>
    <col min="1" max="1" width="61.7109375" style="21" customWidth="1"/>
    <col min="2" max="2" width="9.7109375" style="15" customWidth="1"/>
    <col min="3" max="3" width="9.42578125" style="15" customWidth="1"/>
    <col min="4" max="4" width="10" style="16" bestFit="1" customWidth="1"/>
    <col min="5" max="7" width="9" style="16" bestFit="1" customWidth="1"/>
    <col min="8" max="8" width="10" style="16" bestFit="1" customWidth="1"/>
    <col min="9" max="10" width="9" style="16" bestFit="1" customWidth="1"/>
    <col min="11" max="11" width="8.7109375" style="16" customWidth="1"/>
    <col min="12" max="12" width="9.140625" style="16" customWidth="1"/>
    <col min="13" max="13" width="10.2851562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47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3000</v>
      </c>
      <c r="C5" s="30">
        <v>3000</v>
      </c>
      <c r="D5" s="30">
        <v>0</v>
      </c>
      <c r="E5" s="30">
        <v>0</v>
      </c>
      <c r="F5" s="30">
        <v>0</v>
      </c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/>
      <c r="H10" s="30"/>
      <c r="I10" s="30"/>
      <c r="J10" s="30"/>
      <c r="K10" s="30"/>
      <c r="L10" s="30"/>
      <c r="M10" s="30"/>
    </row>
    <row r="11" spans="1:13" s="23" customFormat="1" x14ac:dyDescent="0.2">
      <c r="A11" s="7" t="s">
        <v>26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2">
        <v>1680</v>
      </c>
      <c r="C12" s="32">
        <v>1680</v>
      </c>
      <c r="D12" s="33">
        <v>4750</v>
      </c>
      <c r="E12" s="33">
        <f>1400+3300</f>
        <v>4700</v>
      </c>
      <c r="F12" s="33">
        <v>4700</v>
      </c>
      <c r="G12" s="33">
        <f>3300+1400</f>
        <v>4700</v>
      </c>
      <c r="H12" s="33">
        <v>4700</v>
      </c>
      <c r="I12" s="34">
        <v>4700</v>
      </c>
      <c r="J12" s="33"/>
      <c r="K12" s="33"/>
      <c r="L12" s="33"/>
      <c r="M12" s="33"/>
    </row>
    <row r="13" spans="1:13" s="23" customFormat="1" x14ac:dyDescent="0.2">
      <c r="A13" s="8" t="s">
        <v>28</v>
      </c>
      <c r="B13" s="32">
        <v>0</v>
      </c>
      <c r="C13" s="32">
        <v>0</v>
      </c>
      <c r="D13" s="32">
        <v>0</v>
      </c>
      <c r="E13" s="32">
        <v>0</v>
      </c>
      <c r="F13" s="30">
        <v>0</v>
      </c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2">
        <v>0</v>
      </c>
      <c r="C14" s="32">
        <v>0</v>
      </c>
      <c r="D14" s="32">
        <v>0</v>
      </c>
      <c r="E14" s="32">
        <v>0</v>
      </c>
      <c r="F14" s="30">
        <v>0</v>
      </c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>
        <v>0</v>
      </c>
      <c r="D15" s="32">
        <v>0</v>
      </c>
      <c r="E15" s="32">
        <v>0</v>
      </c>
      <c r="F15" s="30">
        <v>0</v>
      </c>
      <c r="G15" s="32"/>
      <c r="H15" s="32"/>
      <c r="I15" s="32"/>
      <c r="J15" s="32"/>
      <c r="K15" s="32"/>
      <c r="L15" s="32"/>
      <c r="M15" s="32"/>
    </row>
    <row r="16" spans="1:13" x14ac:dyDescent="0.2">
      <c r="A16" s="8" t="s">
        <v>31</v>
      </c>
      <c r="B16" s="32">
        <v>0</v>
      </c>
      <c r="C16" s="32">
        <v>0</v>
      </c>
      <c r="D16" s="32">
        <v>0</v>
      </c>
      <c r="E16" s="32">
        <v>0</v>
      </c>
      <c r="F16" s="30">
        <v>0</v>
      </c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2">
        <v>0</v>
      </c>
      <c r="E17" s="32">
        <v>0</v>
      </c>
      <c r="F17" s="30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2">
        <v>0</v>
      </c>
      <c r="C18" s="32">
        <v>0</v>
      </c>
      <c r="D18" s="32">
        <v>0</v>
      </c>
      <c r="E18" s="32">
        <v>0</v>
      </c>
      <c r="F18" s="30">
        <v>0</v>
      </c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L19" si="0">SUM(B5:B18)</f>
        <v>4680</v>
      </c>
      <c r="C19" s="28">
        <f t="shared" si="0"/>
        <v>4680</v>
      </c>
      <c r="D19" s="28">
        <f t="shared" si="0"/>
        <v>4750</v>
      </c>
      <c r="E19" s="28">
        <f t="shared" si="0"/>
        <v>4700</v>
      </c>
      <c r="F19" s="28">
        <f t="shared" si="0"/>
        <v>4700</v>
      </c>
      <c r="G19" s="28">
        <f t="shared" si="0"/>
        <v>4700</v>
      </c>
      <c r="H19" s="28">
        <f t="shared" si="0"/>
        <v>4700</v>
      </c>
      <c r="I19" s="28">
        <f t="shared" si="0"/>
        <v>4700</v>
      </c>
      <c r="J19" s="28">
        <f t="shared" si="0"/>
        <v>0</v>
      </c>
      <c r="K19" s="28">
        <f t="shared" si="0"/>
        <v>0</v>
      </c>
      <c r="L19" s="28">
        <f t="shared" si="0"/>
        <v>0</v>
      </c>
      <c r="M19" s="28"/>
    </row>
    <row r="20" spans="1:13" ht="13.5" thickBot="1" x14ac:dyDescent="0.25">
      <c r="A20" s="36" t="s">
        <v>14</v>
      </c>
      <c r="B20" s="29">
        <v>80</v>
      </c>
      <c r="C20" s="32">
        <v>80</v>
      </c>
      <c r="D20" s="32">
        <v>150</v>
      </c>
      <c r="E20" s="32">
        <v>100</v>
      </c>
      <c r="F20" s="32">
        <v>100</v>
      </c>
      <c r="G20" s="32">
        <v>100</v>
      </c>
      <c r="H20" s="32">
        <v>100</v>
      </c>
      <c r="I20" s="32">
        <v>100</v>
      </c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I21" si="1">B19-B20</f>
        <v>4600</v>
      </c>
      <c r="C21" s="28">
        <f t="shared" si="1"/>
        <v>4600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4600</v>
      </c>
      <c r="H21" s="28">
        <f t="shared" si="1"/>
        <v>4600</v>
      </c>
      <c r="I21" s="28">
        <f t="shared" si="1"/>
        <v>4600</v>
      </c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>
        <f>AVERAGE($B21:F21)</f>
        <v>4600</v>
      </c>
      <c r="G22" s="37">
        <f>AVERAGE($B21:G21)</f>
        <v>4600</v>
      </c>
      <c r="H22" s="37">
        <f>AVERAGE($B21:H21)</f>
        <v>4600</v>
      </c>
      <c r="I22" s="37">
        <f>AVERAGE($B21:I21)</f>
        <v>4600</v>
      </c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zoomScaleNormal="100" workbookViewId="0">
      <selection activeCell="L11" sqref="L11"/>
    </sheetView>
  </sheetViews>
  <sheetFormatPr defaultRowHeight="12.75" x14ac:dyDescent="0.2"/>
  <cols>
    <col min="1" max="1" width="47.42578125" style="21" customWidth="1"/>
    <col min="2" max="2" width="8.85546875" style="15" customWidth="1"/>
    <col min="3" max="3" width="9" style="15" bestFit="1" customWidth="1"/>
    <col min="4" max="4" width="9" style="16" bestFit="1" customWidth="1"/>
    <col min="5" max="5" width="9.7109375" style="16" customWidth="1"/>
    <col min="6" max="13" width="9" style="16" bestFit="1" customWidth="1"/>
    <col min="14" max="16384" width="9.140625" style="18"/>
  </cols>
  <sheetData>
    <row r="1" spans="1:14" s="17" customFormat="1" ht="21.75" thickBot="1" x14ac:dyDescent="0.35">
      <c r="A1" s="55" t="s">
        <v>19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7"/>
    </row>
    <row r="2" spans="1:14" ht="21.75" thickBot="1" x14ac:dyDescent="0.25">
      <c r="A2" s="48" t="s">
        <v>61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4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4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4" x14ac:dyDescent="0.2">
      <c r="A5" s="7" t="s">
        <v>20</v>
      </c>
      <c r="B5" s="30">
        <v>0</v>
      </c>
      <c r="C5" s="30"/>
      <c r="D5" s="30"/>
      <c r="E5" s="30">
        <v>1200</v>
      </c>
      <c r="F5" s="30">
        <v>1200</v>
      </c>
      <c r="G5" s="30">
        <v>1200</v>
      </c>
      <c r="H5" s="30">
        <v>1200</v>
      </c>
      <c r="I5" s="30">
        <v>1200</v>
      </c>
      <c r="J5" s="30"/>
      <c r="K5" s="30"/>
      <c r="L5" s="30"/>
      <c r="M5" s="30"/>
    </row>
    <row r="6" spans="1:14" x14ac:dyDescent="0.2">
      <c r="A6" s="31" t="s">
        <v>21</v>
      </c>
      <c r="B6" s="30">
        <v>0</v>
      </c>
      <c r="C6" s="30"/>
      <c r="D6" s="30"/>
      <c r="E6" s="30">
        <f>234.24+65.6+2.35+38.4+16</f>
        <v>356.59000000000003</v>
      </c>
      <c r="F6" s="30">
        <f>91.2+38.4+16+2.35+45+234.24+65.6+94.51</f>
        <v>587.29999999999995</v>
      </c>
      <c r="G6" s="30">
        <f>53.38+234.24+65.6+2.35+46.83+93.66+38.4+16</f>
        <v>550.46</v>
      </c>
      <c r="H6" s="30">
        <v>540.26</v>
      </c>
      <c r="I6" s="30">
        <f>48.94+234.24+65.6+2.35+46.83+91.87+38.4+16</f>
        <v>544.23</v>
      </c>
      <c r="J6" s="30"/>
      <c r="K6" s="30"/>
      <c r="L6" s="30"/>
      <c r="M6" s="30"/>
    </row>
    <row r="7" spans="1:14" x14ac:dyDescent="0.2">
      <c r="A7" s="31" t="s">
        <v>22</v>
      </c>
      <c r="B7" s="30">
        <v>0</v>
      </c>
      <c r="C7" s="30"/>
      <c r="D7" s="30"/>
      <c r="E7" s="30">
        <v>45</v>
      </c>
      <c r="F7" s="30">
        <v>197.32</v>
      </c>
      <c r="G7" s="30">
        <v>83.35</v>
      </c>
      <c r="H7" s="30">
        <v>63.22</v>
      </c>
      <c r="I7" s="30">
        <v>39.770000000000003</v>
      </c>
      <c r="J7" s="30"/>
      <c r="K7" s="30"/>
      <c r="L7" s="30"/>
      <c r="M7" s="30"/>
    </row>
    <row r="8" spans="1:14" x14ac:dyDescent="0.2">
      <c r="A8" s="31" t="s">
        <v>23</v>
      </c>
      <c r="B8" s="30">
        <v>0</v>
      </c>
      <c r="C8" s="30"/>
      <c r="D8" s="30"/>
      <c r="E8" s="30">
        <v>91.2</v>
      </c>
      <c r="F8" s="30"/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/>
      <c r="D9" s="30"/>
      <c r="E9" s="30">
        <v>94.51</v>
      </c>
      <c r="F9" s="30"/>
      <c r="G9" s="30"/>
      <c r="H9" s="30"/>
      <c r="I9" s="30">
        <f>129.64+129.64</f>
        <v>259.27999999999997</v>
      </c>
      <c r="J9" s="30"/>
      <c r="K9" s="30"/>
      <c r="L9" s="30"/>
      <c r="M9" s="30"/>
    </row>
    <row r="10" spans="1:14" ht="13.5" customHeight="1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>
        <v>2480</v>
      </c>
      <c r="C12" s="32">
        <v>2240</v>
      </c>
      <c r="D12" s="33">
        <v>2480</v>
      </c>
      <c r="E12" s="30">
        <v>2400</v>
      </c>
      <c r="F12" s="33">
        <v>2480</v>
      </c>
      <c r="G12" s="33">
        <v>2400</v>
      </c>
      <c r="H12" s="33">
        <v>2480</v>
      </c>
      <c r="I12" s="34">
        <v>2480</v>
      </c>
      <c r="J12" s="33"/>
      <c r="K12" s="33"/>
      <c r="L12" s="33"/>
      <c r="M12" s="33"/>
    </row>
    <row r="13" spans="1:14" s="20" customFormat="1" x14ac:dyDescent="0.2">
      <c r="A13" s="8" t="s">
        <v>28</v>
      </c>
      <c r="B13" s="32">
        <v>0</v>
      </c>
      <c r="C13" s="32"/>
      <c r="D13" s="32"/>
      <c r="E13" s="30"/>
      <c r="F13" s="33"/>
      <c r="G13" s="33"/>
      <c r="H13" s="33"/>
      <c r="I13" s="33"/>
      <c r="J13" s="33"/>
      <c r="K13" s="33"/>
      <c r="L13" s="33"/>
      <c r="M13" s="33"/>
      <c r="N13" s="26"/>
    </row>
    <row r="14" spans="1:14" s="22" customFormat="1" ht="25.5" x14ac:dyDescent="0.2">
      <c r="A14" s="8" t="s">
        <v>29</v>
      </c>
      <c r="B14" s="32">
        <v>0</v>
      </c>
      <c r="C14" s="32"/>
      <c r="D14" s="32"/>
      <c r="E14" s="30"/>
      <c r="F14" s="33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0</v>
      </c>
      <c r="C15" s="32"/>
      <c r="D15" s="32">
        <v>70</v>
      </c>
      <c r="E15" s="47"/>
      <c r="F15" s="32"/>
      <c r="G15" s="30"/>
      <c r="H15" s="32" t="s">
        <v>81</v>
      </c>
      <c r="I15" s="32"/>
      <c r="J15" s="32"/>
      <c r="K15" s="32"/>
      <c r="L15" s="32"/>
      <c r="M15" s="32"/>
    </row>
    <row r="16" spans="1:14" s="20" customFormat="1" ht="25.5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I19" si="0">SUM(B5:B18)</f>
        <v>2480</v>
      </c>
      <c r="C19" s="28">
        <f t="shared" si="0"/>
        <v>2240</v>
      </c>
      <c r="D19" s="28">
        <f t="shared" si="0"/>
        <v>2550</v>
      </c>
      <c r="E19" s="28">
        <f t="shared" si="0"/>
        <v>4187.3</v>
      </c>
      <c r="F19" s="28">
        <f t="shared" si="0"/>
        <v>4464.62</v>
      </c>
      <c r="G19" s="28">
        <f t="shared" si="0"/>
        <v>4233.8099999999995</v>
      </c>
      <c r="H19" s="28">
        <f t="shared" si="0"/>
        <v>4283.4799999999996</v>
      </c>
      <c r="I19" s="28">
        <f t="shared" si="0"/>
        <v>4523.28</v>
      </c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>
        <v>70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I21" si="1">B19-B20</f>
        <v>2480</v>
      </c>
      <c r="C21" s="28">
        <f t="shared" si="1"/>
        <v>2240</v>
      </c>
      <c r="D21" s="28">
        <f t="shared" si="1"/>
        <v>2480</v>
      </c>
      <c r="E21" s="28">
        <f t="shared" si="1"/>
        <v>4187.3</v>
      </c>
      <c r="F21" s="28">
        <f t="shared" si="1"/>
        <v>4464.62</v>
      </c>
      <c r="G21" s="28">
        <f t="shared" si="1"/>
        <v>4233.8099999999995</v>
      </c>
      <c r="H21" s="28">
        <f t="shared" si="1"/>
        <v>4283.4799999999996</v>
      </c>
      <c r="I21" s="28">
        <f t="shared" si="1"/>
        <v>4523.28</v>
      </c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B21</f>
        <v>2480</v>
      </c>
      <c r="C22" s="37">
        <f>AVERAGE($B21:C21)</f>
        <v>2360</v>
      </c>
      <c r="D22" s="37">
        <f>AVERAGE($B21:D21)</f>
        <v>2400</v>
      </c>
      <c r="E22" s="37">
        <f>AVERAGE($B21:E21)</f>
        <v>2846.8249999999998</v>
      </c>
      <c r="F22" s="37">
        <f>AVERAGE($B21:F21)</f>
        <v>3170.3839999999996</v>
      </c>
      <c r="G22" s="37">
        <f>AVERAGE($B21:G21)</f>
        <v>3347.621666666666</v>
      </c>
      <c r="H22" s="37">
        <f>AVERAGE($B21:H21)</f>
        <v>3481.3157142857135</v>
      </c>
      <c r="I22" s="37">
        <f>AVERAGE($B21:I21)</f>
        <v>3611.5612499999993</v>
      </c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9" spans="1:13" x14ac:dyDescent="0.2">
      <c r="E29" s="16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K14" sqref="K14"/>
    </sheetView>
  </sheetViews>
  <sheetFormatPr defaultRowHeight="12.75" x14ac:dyDescent="0.2"/>
  <cols>
    <col min="1" max="1" width="54.7109375" style="21" customWidth="1"/>
    <col min="2" max="2" width="11.5703125" style="15" customWidth="1"/>
    <col min="3" max="3" width="9" style="15" bestFit="1" customWidth="1"/>
    <col min="4" max="10" width="9" style="16" bestFit="1" customWidth="1"/>
    <col min="11" max="11" width="9.28515625" style="16" customWidth="1"/>
    <col min="12" max="12" width="9.140625" style="16" customWidth="1"/>
    <col min="13" max="13" width="9" style="16" bestFit="1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69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4550</v>
      </c>
      <c r="C12" s="32">
        <v>3360</v>
      </c>
      <c r="D12" s="33">
        <v>4550</v>
      </c>
      <c r="E12" s="33">
        <v>4550</v>
      </c>
      <c r="F12" s="33">
        <v>4550</v>
      </c>
      <c r="G12" s="33">
        <v>4550</v>
      </c>
      <c r="H12" s="33">
        <v>4550</v>
      </c>
      <c r="I12" s="34">
        <v>4550</v>
      </c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0"/>
      <c r="G13" s="33"/>
      <c r="H13" s="33"/>
      <c r="I13" s="33"/>
      <c r="J13" s="33"/>
      <c r="K13" s="33"/>
      <c r="L13" s="33"/>
      <c r="M13" s="33"/>
    </row>
    <row r="14" spans="1:13" s="22" customFormat="1" ht="25.5" x14ac:dyDescent="0.2">
      <c r="A14" s="8" t="s">
        <v>29</v>
      </c>
      <c r="B14" s="32">
        <v>0</v>
      </c>
      <c r="C14" s="32"/>
      <c r="D14" s="32"/>
      <c r="E14" s="32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2"/>
      <c r="F15" s="30"/>
      <c r="G15" s="32"/>
      <c r="H15" s="32"/>
      <c r="I15" s="32"/>
      <c r="J15" s="32"/>
      <c r="K15" s="32"/>
      <c r="L15" s="32"/>
      <c r="M15" s="32"/>
    </row>
    <row r="16" spans="1:13" s="20" customFormat="1" ht="25.5" x14ac:dyDescent="0.2">
      <c r="A16" s="8" t="s">
        <v>31</v>
      </c>
      <c r="B16" s="32">
        <v>0</v>
      </c>
      <c r="C16" s="32"/>
      <c r="D16" s="32"/>
      <c r="E16" s="32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2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2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4550</v>
      </c>
      <c r="C19" s="28">
        <v>4550</v>
      </c>
      <c r="D19" s="28">
        <v>4550</v>
      </c>
      <c r="E19" s="28">
        <v>4550</v>
      </c>
      <c r="F19" s="28">
        <v>4550</v>
      </c>
      <c r="G19" s="28">
        <v>4550</v>
      </c>
      <c r="H19" s="28">
        <v>4550</v>
      </c>
      <c r="I19" s="28">
        <v>4550</v>
      </c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I21" si="0">B19-B20</f>
        <v>4550</v>
      </c>
      <c r="C21" s="28">
        <f t="shared" si="0"/>
        <v>4550</v>
      </c>
      <c r="D21" s="28">
        <f t="shared" si="0"/>
        <v>4550</v>
      </c>
      <c r="E21" s="28">
        <f t="shared" si="0"/>
        <v>4550</v>
      </c>
      <c r="F21" s="28">
        <f t="shared" si="0"/>
        <v>4550</v>
      </c>
      <c r="G21" s="28">
        <f t="shared" si="0"/>
        <v>4550</v>
      </c>
      <c r="H21" s="28">
        <f t="shared" si="0"/>
        <v>4550</v>
      </c>
      <c r="I21" s="28">
        <f t="shared" si="0"/>
        <v>4550</v>
      </c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4550</v>
      </c>
      <c r="C22" s="37">
        <f>AVERAGE($B21:C21)</f>
        <v>4550</v>
      </c>
      <c r="D22" s="37">
        <f>AVERAGE($B21:D21)</f>
        <v>4550</v>
      </c>
      <c r="E22" s="37">
        <f>AVERAGE($B21:E21)</f>
        <v>4550</v>
      </c>
      <c r="F22" s="37">
        <f>AVERAGE($B21:F21)</f>
        <v>4550</v>
      </c>
      <c r="G22" s="37">
        <f>AVERAGE($B21:G21)</f>
        <v>4550</v>
      </c>
      <c r="H22" s="37">
        <f>AVERAGE($B21:H21)</f>
        <v>4550</v>
      </c>
      <c r="I22" s="37">
        <f>AVERAGE($B21:I21)</f>
        <v>4550</v>
      </c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K16" sqref="K16"/>
    </sheetView>
  </sheetViews>
  <sheetFormatPr defaultRowHeight="12.75" x14ac:dyDescent="0.2"/>
  <cols>
    <col min="1" max="1" width="57.85546875" style="2" customWidth="1"/>
    <col min="2" max="2" width="10.42578125" style="10" customWidth="1"/>
    <col min="3" max="3" width="10.5703125" style="10" customWidth="1"/>
    <col min="4" max="7" width="9" style="11" bestFit="1" customWidth="1"/>
    <col min="8" max="8" width="8.85546875" style="11" customWidth="1"/>
    <col min="9" max="10" width="9" style="11" bestFit="1" customWidth="1"/>
    <col min="11" max="11" width="9.85546875" style="11" customWidth="1"/>
    <col min="12" max="12" width="8.85546875" style="11" customWidth="1"/>
    <col min="13" max="13" width="10" style="11" customWidth="1"/>
    <col min="14" max="16384" width="9.140625" style="4"/>
  </cols>
  <sheetData>
    <row r="1" spans="1:13" s="1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54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6" customFormat="1" x14ac:dyDescent="0.2">
      <c r="A12" s="8" t="s">
        <v>27</v>
      </c>
      <c r="B12" s="32">
        <v>4960</v>
      </c>
      <c r="C12" s="32">
        <v>4480</v>
      </c>
      <c r="D12" s="33">
        <v>4960</v>
      </c>
      <c r="E12" s="33">
        <v>4800</v>
      </c>
      <c r="F12" s="33">
        <v>4960</v>
      </c>
      <c r="G12" s="33">
        <v>4800</v>
      </c>
      <c r="H12" s="33">
        <v>4960</v>
      </c>
      <c r="I12" s="34">
        <v>4960</v>
      </c>
      <c r="J12" s="33"/>
      <c r="K12" s="33"/>
      <c r="L12" s="33"/>
      <c r="M12" s="33"/>
    </row>
    <row r="13" spans="1:13" s="12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6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I19" si="0">SUM(B5:B18)</f>
        <v>4960</v>
      </c>
      <c r="C19" s="28">
        <f t="shared" si="0"/>
        <v>4480</v>
      </c>
      <c r="D19" s="28">
        <f t="shared" si="0"/>
        <v>4960</v>
      </c>
      <c r="E19" s="28">
        <f t="shared" si="0"/>
        <v>4800</v>
      </c>
      <c r="F19" s="28">
        <f t="shared" si="0"/>
        <v>4960</v>
      </c>
      <c r="G19" s="28">
        <f t="shared" si="0"/>
        <v>4800</v>
      </c>
      <c r="H19" s="28">
        <f t="shared" si="0"/>
        <v>4960</v>
      </c>
      <c r="I19" s="28">
        <f t="shared" si="0"/>
        <v>4960</v>
      </c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360</v>
      </c>
      <c r="C20" s="32"/>
      <c r="D20" s="32">
        <v>360</v>
      </c>
      <c r="E20" s="32">
        <v>200</v>
      </c>
      <c r="F20" s="32">
        <v>360</v>
      </c>
      <c r="G20" s="32">
        <v>200</v>
      </c>
      <c r="H20" s="32">
        <v>360</v>
      </c>
      <c r="I20" s="32">
        <v>360</v>
      </c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I21" si="1">B19-B20</f>
        <v>4600</v>
      </c>
      <c r="C21" s="28">
        <f t="shared" si="1"/>
        <v>4480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4600</v>
      </c>
      <c r="H21" s="28">
        <f t="shared" si="1"/>
        <v>4600</v>
      </c>
      <c r="I21" s="28">
        <f t="shared" si="1"/>
        <v>4600</v>
      </c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4540</v>
      </c>
      <c r="D22" s="37">
        <f>AVERAGE($B21:D21)</f>
        <v>4560</v>
      </c>
      <c r="E22" s="37">
        <f>AVERAGE($B21:E21)</f>
        <v>4570</v>
      </c>
      <c r="F22" s="37">
        <f>AVERAGE($B21:F21)</f>
        <v>4576</v>
      </c>
      <c r="G22" s="37">
        <f>AVERAGE($B21:G21)</f>
        <v>4580</v>
      </c>
      <c r="H22" s="37">
        <f>AVERAGE($B21:H21)</f>
        <v>4582.8571428571431</v>
      </c>
      <c r="I22" s="37">
        <f>AVERAGE($B21:I21)</f>
        <v>4585</v>
      </c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I23" sqref="I23"/>
    </sheetView>
  </sheetViews>
  <sheetFormatPr defaultRowHeight="15" x14ac:dyDescent="0.25"/>
  <cols>
    <col min="1" max="1" width="61.42578125" customWidth="1"/>
    <col min="2" max="2" width="9.5703125" bestFit="1" customWidth="1"/>
    <col min="13" max="13" width="10.5703125" customWidth="1"/>
  </cols>
  <sheetData>
    <row r="1" spans="1:13" ht="21.75" thickBot="1" x14ac:dyDescent="0.3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3">
      <c r="A2" s="48" t="s">
        <v>75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x14ac:dyDescent="0.25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x14ac:dyDescent="0.25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5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x14ac:dyDescent="0.25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5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 t="s">
        <v>35</v>
      </c>
      <c r="C19" s="28" t="s">
        <v>35</v>
      </c>
      <c r="D19" s="28" t="s">
        <v>35</v>
      </c>
      <c r="E19" s="28" t="s">
        <v>35</v>
      </c>
      <c r="F19" s="28" t="s">
        <v>35</v>
      </c>
      <c r="G19" s="28" t="s">
        <v>35</v>
      </c>
      <c r="H19" s="28" t="s">
        <v>35</v>
      </c>
      <c r="I19" s="28" t="s">
        <v>35</v>
      </c>
      <c r="J19" s="28"/>
      <c r="K19" s="28"/>
      <c r="L19" s="28"/>
      <c r="M19" s="28"/>
    </row>
    <row r="20" spans="1:13" ht="15.75" thickBot="1" x14ac:dyDescent="0.3">
      <c r="A20" s="36" t="s">
        <v>14</v>
      </c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5.75" thickBot="1" x14ac:dyDescent="0.3">
      <c r="A21" s="27" t="s">
        <v>15</v>
      </c>
      <c r="B21" s="28">
        <v>0</v>
      </c>
      <c r="C21" s="28"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5.75" thickBot="1" x14ac:dyDescent="0.3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x14ac:dyDescent="0.25">
      <c r="A25" s="43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O16" sqref="O16"/>
    </sheetView>
  </sheetViews>
  <sheetFormatPr defaultRowHeight="12.75" x14ac:dyDescent="0.2"/>
  <cols>
    <col min="1" max="1" width="59.42578125" style="21" customWidth="1"/>
    <col min="2" max="2" width="10.5703125" style="15" customWidth="1"/>
    <col min="3" max="3" width="7.85546875" style="15" bestFit="1" customWidth="1"/>
    <col min="4" max="4" width="8.7109375" style="16" bestFit="1" customWidth="1"/>
    <col min="5" max="11" width="7.85546875" style="16" bestFit="1" customWidth="1"/>
    <col min="12" max="12" width="7.85546875" style="16" customWidth="1"/>
    <col min="13" max="13" width="8.570312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76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0</v>
      </c>
      <c r="C12" s="32"/>
      <c r="D12" s="32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 t="s">
        <v>35</v>
      </c>
      <c r="D19" s="28" t="s">
        <v>35</v>
      </c>
      <c r="E19" s="28" t="s">
        <v>35</v>
      </c>
      <c r="F19" s="28" t="s">
        <v>35</v>
      </c>
      <c r="G19" s="28" t="s">
        <v>35</v>
      </c>
      <c r="H19" s="28" t="s">
        <v>35</v>
      </c>
      <c r="I19" s="28" t="s">
        <v>35</v>
      </c>
      <c r="J19" s="28"/>
      <c r="K19" s="28"/>
      <c r="L19" s="28"/>
      <c r="M19" s="28"/>
    </row>
    <row r="20" spans="1:13" ht="13.5" thickBot="1" x14ac:dyDescent="0.25">
      <c r="A20" s="36" t="s">
        <v>14</v>
      </c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v>0</v>
      </c>
      <c r="C21" s="28"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I16" sqref="I16"/>
    </sheetView>
  </sheetViews>
  <sheetFormatPr defaultRowHeight="15" x14ac:dyDescent="0.25"/>
  <cols>
    <col min="1" max="1" width="56.5703125" customWidth="1"/>
    <col min="2" max="2" width="9.5703125" bestFit="1" customWidth="1"/>
  </cols>
  <sheetData>
    <row r="1" spans="1:13" ht="21.75" thickBot="1" x14ac:dyDescent="0.3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3">
      <c r="A2" s="48" t="s">
        <v>43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x14ac:dyDescent="0.25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x14ac:dyDescent="0.25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5">
      <c r="A5" s="7" t="s">
        <v>20</v>
      </c>
      <c r="B5" s="30">
        <v>2000</v>
      </c>
      <c r="C5" s="30">
        <v>2000</v>
      </c>
      <c r="D5" s="30">
        <v>2000</v>
      </c>
      <c r="E5" s="30">
        <v>2000</v>
      </c>
      <c r="F5" s="30">
        <v>2000</v>
      </c>
      <c r="G5" s="30">
        <v>2000</v>
      </c>
      <c r="H5" s="30">
        <v>2000</v>
      </c>
      <c r="I5" s="30">
        <v>2000</v>
      </c>
      <c r="J5" s="30"/>
      <c r="K5" s="30"/>
      <c r="L5" s="30"/>
      <c r="M5" s="30"/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>
        <v>10.9</v>
      </c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>
        <v>40.18</v>
      </c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2">
        <v>1674</v>
      </c>
      <c r="C12" s="32">
        <v>1512</v>
      </c>
      <c r="D12" s="32">
        <v>1674</v>
      </c>
      <c r="E12" s="30">
        <v>1620</v>
      </c>
      <c r="F12" s="33">
        <v>1674</v>
      </c>
      <c r="G12" s="33">
        <v>1800</v>
      </c>
      <c r="H12" s="33">
        <v>1880</v>
      </c>
      <c r="I12" s="34">
        <v>1860</v>
      </c>
      <c r="J12" s="33"/>
      <c r="K12" s="33"/>
      <c r="L12" s="33"/>
      <c r="M12" s="33"/>
    </row>
    <row r="13" spans="1:13" x14ac:dyDescent="0.25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ht="17.25" customHeight="1" x14ac:dyDescent="0.25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>
        <f t="shared" ref="B19:I19" si="0">SUM(B5:B18)</f>
        <v>3674</v>
      </c>
      <c r="C19" s="28">
        <f t="shared" si="0"/>
        <v>3522.9</v>
      </c>
      <c r="D19" s="28">
        <f t="shared" si="0"/>
        <v>3714.1800000000003</v>
      </c>
      <c r="E19" s="28">
        <f t="shared" si="0"/>
        <v>3620</v>
      </c>
      <c r="F19" s="28">
        <f t="shared" si="0"/>
        <v>3674</v>
      </c>
      <c r="G19" s="28">
        <f t="shared" si="0"/>
        <v>3800</v>
      </c>
      <c r="H19" s="28">
        <f t="shared" si="0"/>
        <v>3880</v>
      </c>
      <c r="I19" s="28">
        <f t="shared" si="0"/>
        <v>3860</v>
      </c>
      <c r="J19" s="28"/>
      <c r="K19" s="28"/>
      <c r="L19" s="28"/>
      <c r="M19" s="28"/>
    </row>
    <row r="20" spans="1:13" ht="15.75" thickBot="1" x14ac:dyDescent="0.3">
      <c r="A20" s="36" t="s">
        <v>14</v>
      </c>
      <c r="B20" s="29">
        <v>0</v>
      </c>
      <c r="C20" s="32">
        <v>0.22</v>
      </c>
      <c r="D20" s="32">
        <v>40.18</v>
      </c>
      <c r="E20" s="32"/>
      <c r="F20" s="32">
        <v>1679</v>
      </c>
      <c r="G20" s="32"/>
      <c r="H20" s="32"/>
      <c r="I20" s="32"/>
      <c r="J20" s="32"/>
      <c r="K20" s="32"/>
      <c r="L20" s="32"/>
      <c r="M20" s="32"/>
    </row>
    <row r="21" spans="1:13" ht="15.75" thickBot="1" x14ac:dyDescent="0.3">
      <c r="A21" s="27" t="s">
        <v>15</v>
      </c>
      <c r="B21" s="28">
        <f t="shared" ref="B21:I21" si="1">B19-B20</f>
        <v>3674</v>
      </c>
      <c r="C21" s="28">
        <f t="shared" si="1"/>
        <v>3522.6800000000003</v>
      </c>
      <c r="D21" s="28">
        <f t="shared" si="1"/>
        <v>3674.0000000000005</v>
      </c>
      <c r="E21" s="28">
        <f t="shared" si="1"/>
        <v>3620</v>
      </c>
      <c r="F21" s="28">
        <f t="shared" si="1"/>
        <v>1995</v>
      </c>
      <c r="G21" s="28">
        <f t="shared" si="1"/>
        <v>3800</v>
      </c>
      <c r="H21" s="28">
        <f t="shared" si="1"/>
        <v>3880</v>
      </c>
      <c r="I21" s="28">
        <f t="shared" si="1"/>
        <v>3860</v>
      </c>
      <c r="J21" s="28"/>
      <c r="K21" s="28"/>
      <c r="L21" s="28"/>
      <c r="M21" s="28"/>
    </row>
    <row r="22" spans="1:13" ht="15.75" thickBot="1" x14ac:dyDescent="0.3">
      <c r="A22" s="36" t="s">
        <v>12</v>
      </c>
      <c r="B22" s="37">
        <f>AVERAGE(B21)</f>
        <v>3674</v>
      </c>
      <c r="C22" s="37">
        <f>AVERAGE($B21:C21)</f>
        <v>3598.34</v>
      </c>
      <c r="D22" s="37">
        <f>AVERAGE($B21:D21)</f>
        <v>3623.56</v>
      </c>
      <c r="E22" s="37">
        <f>AVERAGE($B21:E21)</f>
        <v>3622.67</v>
      </c>
      <c r="F22" s="37">
        <f>AVERAGE($B21:F21)</f>
        <v>3297.136</v>
      </c>
      <c r="G22" s="37">
        <f>AVERAGE($B21:G21)</f>
        <v>3380.9466666666667</v>
      </c>
      <c r="H22" s="37">
        <f>AVERAGE($B21:H21)</f>
        <v>3452.2400000000002</v>
      </c>
      <c r="I22" s="37">
        <f>AVERAGE($B21:I21)</f>
        <v>3503.21</v>
      </c>
      <c r="J22" s="37"/>
      <c r="K22" s="37"/>
      <c r="L22" s="37"/>
      <c r="M22" s="37"/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I25" sqref="I25"/>
    </sheetView>
  </sheetViews>
  <sheetFormatPr defaultRowHeight="12.75" x14ac:dyDescent="0.2"/>
  <cols>
    <col min="1" max="1" width="64.7109375" style="21" customWidth="1"/>
    <col min="2" max="3" width="8.7109375" style="15" customWidth="1"/>
    <col min="4" max="5" width="9.28515625" style="16" customWidth="1"/>
    <col min="6" max="7" width="9" style="16" bestFit="1" customWidth="1"/>
    <col min="8" max="8" width="8.85546875" style="16" customWidth="1"/>
    <col min="9" max="10" width="9" style="16" bestFit="1" customWidth="1"/>
    <col min="11" max="11" width="9" style="16" customWidth="1"/>
    <col min="12" max="12" width="9.28515625" style="16" customWidth="1"/>
    <col min="13" max="13" width="9" style="16" bestFit="1" customWidth="1"/>
    <col min="14" max="16384" width="9.140625" style="18"/>
  </cols>
  <sheetData>
    <row r="1" spans="1:14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4" ht="21.75" thickBot="1" x14ac:dyDescent="0.25">
      <c r="A2" s="48" t="s">
        <v>48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4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4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4" x14ac:dyDescent="0.2">
      <c r="A5" s="7" t="s">
        <v>20</v>
      </c>
      <c r="B5" s="30">
        <v>600</v>
      </c>
      <c r="C5" s="30">
        <v>600</v>
      </c>
      <c r="D5" s="30">
        <v>600</v>
      </c>
      <c r="E5" s="30">
        <v>600</v>
      </c>
      <c r="F5" s="30">
        <v>600</v>
      </c>
      <c r="G5" s="30">
        <v>600</v>
      </c>
      <c r="H5" s="30">
        <v>700</v>
      </c>
      <c r="I5" s="30">
        <v>700</v>
      </c>
      <c r="J5" s="30"/>
      <c r="K5" s="30"/>
      <c r="L5" s="30"/>
      <c r="M5" s="30"/>
    </row>
    <row r="6" spans="1:14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18.309999999999999</v>
      </c>
      <c r="C7" s="30"/>
      <c r="D7" s="30"/>
      <c r="E7" s="30">
        <f>15.33+15.12</f>
        <v>30.45</v>
      </c>
      <c r="F7" s="30"/>
      <c r="G7" s="30"/>
      <c r="H7" s="30">
        <v>18.079999999999998</v>
      </c>
      <c r="I7" s="30">
        <v>46.45</v>
      </c>
      <c r="J7" s="30"/>
      <c r="K7" s="30"/>
      <c r="L7" s="30"/>
      <c r="M7" s="30"/>
    </row>
    <row r="8" spans="1:14" x14ac:dyDescent="0.2">
      <c r="A8" s="31" t="s">
        <v>23</v>
      </c>
      <c r="B8" s="30">
        <v>121.74</v>
      </c>
      <c r="C8" s="30"/>
      <c r="D8" s="30"/>
      <c r="E8" s="30">
        <f>60.27+61.47</f>
        <v>121.74000000000001</v>
      </c>
      <c r="F8" s="30"/>
      <c r="G8" s="30"/>
      <c r="H8" s="30">
        <v>277.33999999999997</v>
      </c>
      <c r="I8" s="30">
        <v>75.28</v>
      </c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0">
        <v>0</v>
      </c>
      <c r="C12" s="30">
        <v>2426.7600000000002</v>
      </c>
      <c r="D12" s="30">
        <v>2686.77</v>
      </c>
      <c r="E12" s="30">
        <v>2600</v>
      </c>
      <c r="F12" s="30">
        <v>2686.77</v>
      </c>
      <c r="G12" s="33">
        <v>2600</v>
      </c>
      <c r="H12" s="33">
        <v>2686.67</v>
      </c>
      <c r="I12" s="34">
        <v>2686.67</v>
      </c>
      <c r="J12" s="33"/>
      <c r="K12" s="33"/>
      <c r="L12" s="33"/>
      <c r="M12" s="33"/>
    </row>
    <row r="13" spans="1:14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  <c r="N13" s="20" t="s">
        <v>40</v>
      </c>
    </row>
    <row r="14" spans="1:14" s="22" customFormat="1" x14ac:dyDescent="0.2">
      <c r="A14" s="8" t="s">
        <v>29</v>
      </c>
      <c r="B14" s="32">
        <v>0</v>
      </c>
      <c r="C14" s="30"/>
      <c r="D14" s="32"/>
      <c r="E14" s="33"/>
      <c r="F14" s="30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0</v>
      </c>
      <c r="C15" s="30">
        <v>54.8</v>
      </c>
      <c r="D15" s="32"/>
      <c r="E15" s="32">
        <f>27.99+97.32</f>
        <v>125.30999999999999</v>
      </c>
      <c r="F15" s="32"/>
      <c r="G15" s="32">
        <v>71.06</v>
      </c>
      <c r="H15" s="32">
        <v>119.66</v>
      </c>
      <c r="I15" s="32">
        <v>193.85</v>
      </c>
      <c r="J15" s="32"/>
      <c r="K15" s="32"/>
      <c r="L15" s="32"/>
      <c r="M15" s="32"/>
    </row>
    <row r="16" spans="1:14" s="20" customFormat="1" x14ac:dyDescent="0.2">
      <c r="A16" s="8" t="s">
        <v>31</v>
      </c>
      <c r="B16" s="32">
        <v>0</v>
      </c>
      <c r="C16" s="30"/>
      <c r="D16" s="33"/>
      <c r="E16" s="33"/>
      <c r="F16" s="30"/>
      <c r="G16" s="33"/>
      <c r="H16" s="33"/>
      <c r="I16" s="33"/>
      <c r="J16" s="33"/>
      <c r="K16" s="33"/>
      <c r="L16" s="33"/>
      <c r="M16" s="33"/>
      <c r="N16" s="44"/>
    </row>
    <row r="17" spans="1:13" x14ac:dyDescent="0.2">
      <c r="A17" s="8" t="s">
        <v>32</v>
      </c>
      <c r="B17" s="32">
        <v>0</v>
      </c>
      <c r="C17" s="30"/>
      <c r="D17" s="33"/>
      <c r="E17" s="33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2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I19" si="0">SUM(B4:B18)</f>
        <v>740.05</v>
      </c>
      <c r="C19" s="28">
        <f t="shared" si="0"/>
        <v>3081.5600000000004</v>
      </c>
      <c r="D19" s="28">
        <f t="shared" si="0"/>
        <v>3286.77</v>
      </c>
      <c r="E19" s="28">
        <f t="shared" si="0"/>
        <v>3477.5</v>
      </c>
      <c r="F19" s="28">
        <f t="shared" si="0"/>
        <v>3286.77</v>
      </c>
      <c r="G19" s="28">
        <f t="shared" si="0"/>
        <v>3271.06</v>
      </c>
      <c r="H19" s="28">
        <f t="shared" si="0"/>
        <v>3801.75</v>
      </c>
      <c r="I19" s="28">
        <f t="shared" si="0"/>
        <v>3702.25</v>
      </c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>
        <v>2686.77</v>
      </c>
      <c r="E20" s="32">
        <f>1.2+0.45+27.99+97.32</f>
        <v>126.96</v>
      </c>
      <c r="F20" s="32"/>
      <c r="G20" s="32"/>
      <c r="H20" s="32"/>
      <c r="I20" s="32">
        <f>13.33+4.06</f>
        <v>17.39</v>
      </c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I21" si="1">B19-B20</f>
        <v>740.05</v>
      </c>
      <c r="C21" s="28">
        <f t="shared" si="1"/>
        <v>3081.5600000000004</v>
      </c>
      <c r="D21" s="28">
        <f t="shared" si="1"/>
        <v>600</v>
      </c>
      <c r="E21" s="28">
        <f t="shared" si="1"/>
        <v>3350.54</v>
      </c>
      <c r="F21" s="28">
        <f t="shared" si="1"/>
        <v>3286.77</v>
      </c>
      <c r="G21" s="28">
        <f t="shared" si="1"/>
        <v>3271.06</v>
      </c>
      <c r="H21" s="28">
        <f t="shared" si="1"/>
        <v>3801.75</v>
      </c>
      <c r="I21" s="28">
        <f t="shared" si="1"/>
        <v>3684.86</v>
      </c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740.05</v>
      </c>
      <c r="C22" s="37">
        <f>AVERAGE($B21:C21)</f>
        <v>1910.8050000000003</v>
      </c>
      <c r="D22" s="37">
        <f>AVERAGE($B21:D21)</f>
        <v>1473.8700000000001</v>
      </c>
      <c r="E22" s="37">
        <f>AVERAGE($B21:E21)</f>
        <v>1943.0375000000001</v>
      </c>
      <c r="F22" s="37">
        <f>AVERAGE($B21:F21)</f>
        <v>2211.7840000000001</v>
      </c>
      <c r="G22" s="37">
        <f>AVERAGE($B21:G21)</f>
        <v>2388.33</v>
      </c>
      <c r="H22" s="37">
        <f>AVERAGE($B21:H21)</f>
        <v>2590.247142857143</v>
      </c>
      <c r="I22" s="37">
        <f>AVERAGE($B21:I21)</f>
        <v>2727.07375</v>
      </c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="110" zoomScaleNormal="110" workbookViewId="0">
      <selection activeCell="H24" sqref="H24"/>
    </sheetView>
  </sheetViews>
  <sheetFormatPr defaultRowHeight="12.75" x14ac:dyDescent="0.2"/>
  <cols>
    <col min="1" max="1" width="60.140625" style="21" customWidth="1"/>
    <col min="2" max="2" width="8.42578125" style="15" customWidth="1"/>
    <col min="3" max="3" width="8" style="15" bestFit="1" customWidth="1"/>
    <col min="4" max="4" width="8" style="16" bestFit="1" customWidth="1"/>
    <col min="5" max="11" width="7.140625" style="16" customWidth="1"/>
    <col min="12" max="12" width="7.42578125" style="16" customWidth="1"/>
    <col min="13" max="13" width="7.14062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77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 t="s">
        <v>35</v>
      </c>
      <c r="D19" s="28" t="s">
        <v>35</v>
      </c>
      <c r="E19" s="28" t="s">
        <v>35</v>
      </c>
      <c r="F19" s="28" t="s">
        <v>35</v>
      </c>
      <c r="G19" s="28" t="s">
        <v>35</v>
      </c>
      <c r="H19" s="28" t="s">
        <v>35</v>
      </c>
      <c r="I19" s="28" t="s">
        <v>35</v>
      </c>
      <c r="J19" s="28"/>
      <c r="K19" s="28"/>
      <c r="L19" s="28"/>
      <c r="M19" s="28"/>
    </row>
    <row r="20" spans="1:13" ht="13.5" thickBot="1" x14ac:dyDescent="0.25">
      <c r="A20" s="36" t="s">
        <v>14</v>
      </c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v>0</v>
      </c>
      <c r="C21" s="28"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5" spans="1:13" x14ac:dyDescent="0.2">
      <c r="A25" s="21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K16" sqref="K16"/>
    </sheetView>
  </sheetViews>
  <sheetFormatPr defaultRowHeight="12.75" x14ac:dyDescent="0.2"/>
  <cols>
    <col min="1" max="1" width="52.28515625" style="21" customWidth="1"/>
    <col min="2" max="2" width="10.5703125" style="15" customWidth="1"/>
    <col min="3" max="3" width="9" style="15" bestFit="1" customWidth="1"/>
    <col min="4" max="11" width="9" style="16" bestFit="1" customWidth="1"/>
    <col min="12" max="12" width="8.7109375" style="16" customWidth="1"/>
    <col min="13" max="13" width="9.14062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57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3100</v>
      </c>
      <c r="C12" s="30">
        <v>2800</v>
      </c>
      <c r="D12" s="30">
        <v>3100</v>
      </c>
      <c r="E12" s="33">
        <v>3000</v>
      </c>
      <c r="F12" s="33">
        <v>3100</v>
      </c>
      <c r="G12" s="33">
        <v>3000</v>
      </c>
      <c r="H12" s="33">
        <v>3100</v>
      </c>
      <c r="I12" s="34">
        <v>3100</v>
      </c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ht="25.5" x14ac:dyDescent="0.2">
      <c r="A14" s="8" t="s">
        <v>29</v>
      </c>
      <c r="B14" s="32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ht="25.5" x14ac:dyDescent="0.2">
      <c r="A16" s="8" t="s">
        <v>31</v>
      </c>
      <c r="B16" s="32">
        <v>0</v>
      </c>
      <c r="C16" s="32"/>
      <c r="D16" s="33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3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>
        <v>1800</v>
      </c>
      <c r="E18" s="32"/>
      <c r="F18" s="30">
        <v>1120</v>
      </c>
      <c r="G18" s="32">
        <v>1120</v>
      </c>
      <c r="H18" s="32"/>
      <c r="I18" s="32">
        <v>1050</v>
      </c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I19" si="0">SUM(B5:B18)</f>
        <v>3100</v>
      </c>
      <c r="C19" s="28">
        <f t="shared" si="0"/>
        <v>2800</v>
      </c>
      <c r="D19" s="28">
        <f t="shared" si="0"/>
        <v>4900</v>
      </c>
      <c r="E19" s="28">
        <f t="shared" si="0"/>
        <v>3000</v>
      </c>
      <c r="F19" s="28">
        <f t="shared" si="0"/>
        <v>4220</v>
      </c>
      <c r="G19" s="28">
        <f t="shared" si="0"/>
        <v>4120</v>
      </c>
      <c r="H19" s="28">
        <f t="shared" si="0"/>
        <v>3100</v>
      </c>
      <c r="I19" s="28">
        <f t="shared" si="0"/>
        <v>4150</v>
      </c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>
        <v>300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I21" si="1">B19-B20</f>
        <v>3100</v>
      </c>
      <c r="C21" s="28">
        <f t="shared" si="1"/>
        <v>2800</v>
      </c>
      <c r="D21" s="28">
        <f t="shared" si="1"/>
        <v>4600</v>
      </c>
      <c r="E21" s="28">
        <f t="shared" si="1"/>
        <v>3000</v>
      </c>
      <c r="F21" s="28">
        <f t="shared" si="1"/>
        <v>4220</v>
      </c>
      <c r="G21" s="28">
        <f t="shared" si="1"/>
        <v>4120</v>
      </c>
      <c r="H21" s="28">
        <f t="shared" si="1"/>
        <v>3100</v>
      </c>
      <c r="I21" s="28">
        <f t="shared" si="1"/>
        <v>4150</v>
      </c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3100</v>
      </c>
      <c r="C22" s="37">
        <f>AVERAGE($B21:C21)</f>
        <v>2950</v>
      </c>
      <c r="D22" s="37">
        <f>AVERAGE($B21:D21)</f>
        <v>3500</v>
      </c>
      <c r="E22" s="37">
        <f>AVERAGE($B21:E21)</f>
        <v>3375</v>
      </c>
      <c r="F22" s="37">
        <f>AVERAGE($B21:F21)</f>
        <v>3544</v>
      </c>
      <c r="G22" s="37">
        <f>AVERAGE($B21:G21)</f>
        <v>3640</v>
      </c>
      <c r="H22" s="37">
        <f>AVERAGE($B21:H21)</f>
        <v>3562.8571428571427</v>
      </c>
      <c r="I22" s="37">
        <f>AVERAGE($B21:I21)</f>
        <v>3636.25</v>
      </c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I24" sqref="I24"/>
    </sheetView>
  </sheetViews>
  <sheetFormatPr defaultRowHeight="12.75" x14ac:dyDescent="0.2"/>
  <cols>
    <col min="1" max="1" width="64.140625" style="21" customWidth="1"/>
    <col min="2" max="2" width="10.28515625" style="15" customWidth="1"/>
    <col min="3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78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5521.1</v>
      </c>
      <c r="C12" s="32">
        <v>4986.8</v>
      </c>
      <c r="D12" s="33">
        <v>5631.77</v>
      </c>
      <c r="E12" s="33">
        <f>2250+3200.1</f>
        <v>5450.1</v>
      </c>
      <c r="F12" s="33">
        <f>3306.77+2325</f>
        <v>5631.77</v>
      </c>
      <c r="G12" s="33">
        <f>2250+3200.1</f>
        <v>5450.1</v>
      </c>
      <c r="H12" s="33">
        <v>5631.77</v>
      </c>
      <c r="I12" s="34">
        <v>5631.77</v>
      </c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3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3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/>
      <c r="C15" s="32"/>
      <c r="D15" s="32"/>
      <c r="E15" s="30"/>
      <c r="F15" s="32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I19" si="0">SUM(B5:B18)</f>
        <v>5521.1</v>
      </c>
      <c r="C19" s="28">
        <f t="shared" si="0"/>
        <v>4986.8</v>
      </c>
      <c r="D19" s="28">
        <f t="shared" si="0"/>
        <v>5631.77</v>
      </c>
      <c r="E19" s="28">
        <f t="shared" si="0"/>
        <v>5450.1</v>
      </c>
      <c r="F19" s="28">
        <f t="shared" si="0"/>
        <v>5631.77</v>
      </c>
      <c r="G19" s="28">
        <f t="shared" si="0"/>
        <v>5450.1</v>
      </c>
      <c r="H19" s="28">
        <f t="shared" si="0"/>
        <v>5631.77</v>
      </c>
      <c r="I19" s="28">
        <f t="shared" si="0"/>
        <v>5631.77</v>
      </c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921.1</v>
      </c>
      <c r="C20" s="32">
        <v>386.8</v>
      </c>
      <c r="D20" s="32">
        <v>1031.77</v>
      </c>
      <c r="E20" s="32">
        <v>850.1</v>
      </c>
      <c r="F20" s="32">
        <v>1031.77</v>
      </c>
      <c r="G20" s="32">
        <v>850.1</v>
      </c>
      <c r="H20" s="32">
        <v>1031.77</v>
      </c>
      <c r="I20" s="32">
        <v>1031.77</v>
      </c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I21" si="1">B19-B20</f>
        <v>4600</v>
      </c>
      <c r="C21" s="28">
        <f t="shared" si="1"/>
        <v>4600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4600</v>
      </c>
      <c r="H21" s="28">
        <f t="shared" si="1"/>
        <v>4600</v>
      </c>
      <c r="I21" s="28">
        <f t="shared" si="1"/>
        <v>4600</v>
      </c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>
        <f>AVERAGE($B21:F21)</f>
        <v>4600</v>
      </c>
      <c r="G22" s="37">
        <f>AVERAGE($B21:G21)</f>
        <v>4600</v>
      </c>
      <c r="H22" s="37">
        <f>AVERAGE($B21:H21)</f>
        <v>4600</v>
      </c>
      <c r="I22" s="37">
        <f>AVERAGE($B21:I21)</f>
        <v>4600</v>
      </c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O3" sqref="O3"/>
    </sheetView>
  </sheetViews>
  <sheetFormatPr defaultRowHeight="15" x14ac:dyDescent="0.25"/>
  <cols>
    <col min="1" max="1" width="63" customWidth="1"/>
    <col min="2" max="2" width="9.5703125" bestFit="1" customWidth="1"/>
    <col min="8" max="8" width="10" bestFit="1" customWidth="1"/>
    <col min="9" max="9" width="9.42578125" customWidth="1"/>
  </cols>
  <sheetData>
    <row r="1" spans="1:13" ht="21.75" thickBot="1" x14ac:dyDescent="0.3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3">
      <c r="A2" s="48" t="s">
        <v>79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x14ac:dyDescent="0.25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x14ac:dyDescent="0.25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5">
      <c r="A5" s="7" t="s">
        <v>20</v>
      </c>
      <c r="B5" s="30">
        <v>0</v>
      </c>
      <c r="C5" s="30">
        <v>2400</v>
      </c>
      <c r="D5" s="30">
        <v>2400</v>
      </c>
      <c r="E5" s="30">
        <v>2400</v>
      </c>
      <c r="F5" s="30">
        <v>2400</v>
      </c>
      <c r="G5" s="30">
        <v>2400</v>
      </c>
      <c r="H5" s="30">
        <v>2400</v>
      </c>
      <c r="I5" s="30">
        <v>2400</v>
      </c>
      <c r="J5" s="30"/>
      <c r="K5" s="30"/>
      <c r="L5" s="30"/>
      <c r="M5" s="30"/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2">
        <v>0</v>
      </c>
      <c r="C12" s="32">
        <v>4940</v>
      </c>
      <c r="D12" s="32">
        <v>4940</v>
      </c>
      <c r="E12" s="33">
        <v>4940</v>
      </c>
      <c r="F12" s="33">
        <v>4940</v>
      </c>
      <c r="G12" s="33">
        <v>4940</v>
      </c>
      <c r="H12" s="33">
        <v>4940</v>
      </c>
      <c r="I12" s="34">
        <v>4940</v>
      </c>
      <c r="J12" s="33"/>
      <c r="K12" s="33"/>
      <c r="L12" s="33"/>
      <c r="M12" s="33"/>
    </row>
    <row r="13" spans="1:13" x14ac:dyDescent="0.25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5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 t="s">
        <v>35</v>
      </c>
      <c r="C19" s="28">
        <f t="shared" ref="C19:I19" si="0">SUM(C5:C18)</f>
        <v>7340</v>
      </c>
      <c r="D19" s="28">
        <f t="shared" si="0"/>
        <v>7340</v>
      </c>
      <c r="E19" s="28">
        <f t="shared" si="0"/>
        <v>7340</v>
      </c>
      <c r="F19" s="28">
        <f t="shared" si="0"/>
        <v>7340</v>
      </c>
      <c r="G19" s="28">
        <f t="shared" si="0"/>
        <v>7340</v>
      </c>
      <c r="H19" s="28">
        <f t="shared" si="0"/>
        <v>7340</v>
      </c>
      <c r="I19" s="28">
        <f t="shared" si="0"/>
        <v>7340</v>
      </c>
      <c r="J19" s="28"/>
      <c r="K19" s="28"/>
      <c r="L19" s="28"/>
      <c r="M19" s="28"/>
    </row>
    <row r="20" spans="1:13" ht="15.75" thickBot="1" x14ac:dyDescent="0.3">
      <c r="A20" s="36" t="s">
        <v>14</v>
      </c>
      <c r="B20" s="29">
        <v>0</v>
      </c>
      <c r="C20" s="32">
        <v>2740</v>
      </c>
      <c r="D20" s="32">
        <v>2740</v>
      </c>
      <c r="E20" s="32">
        <v>2740</v>
      </c>
      <c r="F20" s="32">
        <v>2740</v>
      </c>
      <c r="G20" s="32">
        <v>3032.15</v>
      </c>
      <c r="H20" s="32">
        <v>2782.89</v>
      </c>
      <c r="I20" s="32">
        <v>2740</v>
      </c>
      <c r="J20" s="32"/>
      <c r="K20" s="32"/>
      <c r="L20" s="32"/>
      <c r="M20" s="32"/>
    </row>
    <row r="21" spans="1:13" ht="15.75" thickBot="1" x14ac:dyDescent="0.3">
      <c r="A21" s="27" t="s">
        <v>15</v>
      </c>
      <c r="B21" s="28">
        <v>0</v>
      </c>
      <c r="C21" s="28">
        <f t="shared" ref="C21:I21" si="1">C19-C20</f>
        <v>4600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4307.8500000000004</v>
      </c>
      <c r="H21" s="28">
        <f t="shared" si="1"/>
        <v>4557.1100000000006</v>
      </c>
      <c r="I21" s="28">
        <f t="shared" si="1"/>
        <v>4600</v>
      </c>
      <c r="J21" s="28"/>
      <c r="K21" s="28"/>
      <c r="L21" s="28"/>
      <c r="M21" s="28"/>
    </row>
    <row r="22" spans="1:13" ht="15.75" thickBot="1" x14ac:dyDescent="0.3">
      <c r="A22" s="36" t="s">
        <v>12</v>
      </c>
      <c r="B22" s="37">
        <f>B21</f>
        <v>0</v>
      </c>
      <c r="C22" s="37">
        <f>AVERAGE($B21:C21)</f>
        <v>2300</v>
      </c>
      <c r="D22" s="37">
        <f>AVERAGE($B21:D21)</f>
        <v>3066.6666666666665</v>
      </c>
      <c r="E22" s="37">
        <f>AVERAGE($B21:E21)</f>
        <v>3450</v>
      </c>
      <c r="F22" s="37">
        <f>AVERAGE($B21:F21)</f>
        <v>3680</v>
      </c>
      <c r="G22" s="37">
        <f>AVERAGE($B21:G21)</f>
        <v>3784.6416666666664</v>
      </c>
      <c r="H22" s="37">
        <f>AVERAGE($B21:H21)</f>
        <v>3894.9942857142855</v>
      </c>
      <c r="I22" s="37">
        <f>AVERAGE($B21:I21)</f>
        <v>3983.12</v>
      </c>
      <c r="J22" s="37"/>
      <c r="K22" s="37"/>
      <c r="L22" s="37"/>
      <c r="M22" s="37"/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I23" sqref="I23"/>
    </sheetView>
  </sheetViews>
  <sheetFormatPr defaultRowHeight="12" x14ac:dyDescent="0.2"/>
  <cols>
    <col min="1" max="1" width="46.5703125" style="3" customWidth="1"/>
    <col min="2" max="3" width="9" style="10" bestFit="1" customWidth="1"/>
    <col min="4" max="13" width="9" style="11" bestFit="1" customWidth="1"/>
    <col min="14" max="16384" width="9.140625" style="4"/>
  </cols>
  <sheetData>
    <row r="1" spans="1:13" s="1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64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ht="12.75" x14ac:dyDescent="0.2">
      <c r="A5" s="7" t="s">
        <v>20</v>
      </c>
      <c r="B5" s="30">
        <v>1500</v>
      </c>
      <c r="C5" s="30">
        <v>1500</v>
      </c>
      <c r="D5" s="30">
        <v>1500</v>
      </c>
      <c r="E5" s="30">
        <v>1500</v>
      </c>
      <c r="F5" s="30">
        <v>1500</v>
      </c>
      <c r="G5" s="30">
        <v>1500</v>
      </c>
      <c r="H5" s="30">
        <v>1500</v>
      </c>
      <c r="I5" s="30">
        <v>1500</v>
      </c>
      <c r="J5" s="30"/>
      <c r="K5" s="30"/>
      <c r="L5" s="30"/>
      <c r="M5" s="30"/>
    </row>
    <row r="6" spans="1:13" ht="12.75" x14ac:dyDescent="0.2">
      <c r="A6" s="31" t="s">
        <v>21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12.75" x14ac:dyDescent="0.2">
      <c r="A7" s="31" t="s">
        <v>22</v>
      </c>
      <c r="B7" s="30">
        <v>190.88</v>
      </c>
      <c r="C7" s="30">
        <v>290.74</v>
      </c>
      <c r="D7" s="30">
        <v>198.74</v>
      </c>
      <c r="E7" s="30">
        <v>210.4</v>
      </c>
      <c r="F7" s="30">
        <v>174.98</v>
      </c>
      <c r="G7" s="30">
        <v>228.88</v>
      </c>
      <c r="H7" s="30"/>
      <c r="I7" s="30">
        <v>168.48</v>
      </c>
      <c r="J7" s="30"/>
      <c r="K7" s="30"/>
      <c r="L7" s="30"/>
      <c r="M7" s="30"/>
    </row>
    <row r="8" spans="1:13" ht="12.75" x14ac:dyDescent="0.2">
      <c r="A8" s="31" t="s">
        <v>23</v>
      </c>
      <c r="B8" s="30">
        <v>81.36</v>
      </c>
      <c r="C8" s="30">
        <v>81.36</v>
      </c>
      <c r="D8" s="30">
        <v>81.36</v>
      </c>
      <c r="E8" s="30">
        <v>81.36</v>
      </c>
      <c r="F8" s="30">
        <v>83.6</v>
      </c>
      <c r="G8" s="30">
        <v>81.36</v>
      </c>
      <c r="H8" s="30">
        <v>83.6</v>
      </c>
      <c r="I8" s="30">
        <v>83.6</v>
      </c>
      <c r="J8" s="30"/>
      <c r="K8" s="30"/>
      <c r="L8" s="30"/>
      <c r="M8" s="30"/>
    </row>
    <row r="9" spans="1:13" ht="12.75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ht="15.75" customHeight="1" x14ac:dyDescent="0.2">
      <c r="A10" s="31" t="s">
        <v>25</v>
      </c>
      <c r="B10" s="30">
        <v>126.94</v>
      </c>
      <c r="C10" s="30">
        <v>164.86</v>
      </c>
      <c r="D10" s="30">
        <v>147.72</v>
      </c>
      <c r="E10" s="30">
        <v>226.88</v>
      </c>
      <c r="F10" s="30">
        <v>172.81</v>
      </c>
      <c r="G10" s="30">
        <v>149.78</v>
      </c>
      <c r="H10" s="30">
        <v>224.42</v>
      </c>
      <c r="I10" s="30">
        <v>153.88</v>
      </c>
      <c r="J10" s="30"/>
      <c r="K10" s="30"/>
      <c r="L10" s="30"/>
      <c r="M10" s="30"/>
    </row>
    <row r="11" spans="1:13" s="12" customFormat="1" ht="12.75" x14ac:dyDescent="0.2">
      <c r="A11" s="7" t="s">
        <v>26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6" customFormat="1" ht="12.75" x14ac:dyDescent="0.2">
      <c r="A12" s="8" t="s">
        <v>27</v>
      </c>
      <c r="B12" s="32">
        <v>2800</v>
      </c>
      <c r="C12" s="32">
        <v>2800</v>
      </c>
      <c r="D12" s="33">
        <v>2800</v>
      </c>
      <c r="E12" s="33">
        <v>2800</v>
      </c>
      <c r="F12" s="33">
        <v>2800</v>
      </c>
      <c r="G12" s="33">
        <v>2800</v>
      </c>
      <c r="H12" s="33">
        <v>2800</v>
      </c>
      <c r="I12" s="34">
        <v>2800</v>
      </c>
      <c r="J12" s="33"/>
      <c r="K12" s="33"/>
      <c r="L12" s="33"/>
      <c r="M12" s="33"/>
    </row>
    <row r="13" spans="1:13" s="12" customFormat="1" ht="12.75" x14ac:dyDescent="0.2">
      <c r="A13" s="8" t="s">
        <v>28</v>
      </c>
      <c r="B13" s="32">
        <v>0</v>
      </c>
      <c r="C13" s="32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2"/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3" s="6" customFormat="1" ht="12.75" x14ac:dyDescent="0.2">
      <c r="A15" s="9" t="s">
        <v>30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3" ht="25.5" x14ac:dyDescent="0.2">
      <c r="A16" s="8" t="s">
        <v>31</v>
      </c>
      <c r="B16" s="32"/>
      <c r="C16" s="32"/>
      <c r="D16" s="33"/>
      <c r="E16" s="33"/>
      <c r="F16" s="33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2"/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I19" si="0">SUM(B5:B18)</f>
        <v>4699.18</v>
      </c>
      <c r="C19" s="28">
        <f t="shared" si="0"/>
        <v>4836.96</v>
      </c>
      <c r="D19" s="28">
        <f t="shared" si="0"/>
        <v>4727.82</v>
      </c>
      <c r="E19" s="28">
        <f t="shared" si="0"/>
        <v>4818.6399999999994</v>
      </c>
      <c r="F19" s="28">
        <f t="shared" si="0"/>
        <v>4731.3899999999994</v>
      </c>
      <c r="G19" s="28">
        <f t="shared" si="0"/>
        <v>4760.0200000000004</v>
      </c>
      <c r="H19" s="28">
        <f t="shared" si="0"/>
        <v>4608.0200000000004</v>
      </c>
      <c r="I19" s="28">
        <f t="shared" si="0"/>
        <v>4705.96</v>
      </c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99.18</v>
      </c>
      <c r="C20" s="32">
        <v>236.96</v>
      </c>
      <c r="D20" s="32">
        <v>127.82</v>
      </c>
      <c r="E20" s="32">
        <f>1+3.69+0.1+213.85</f>
        <v>218.64</v>
      </c>
      <c r="F20" s="32">
        <v>131.38999999999999</v>
      </c>
      <c r="G20" s="32">
        <v>160.02000000000001</v>
      </c>
      <c r="H20" s="32">
        <v>8.02</v>
      </c>
      <c r="I20" s="32">
        <v>105.96</v>
      </c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I21" si="1">B19-B20</f>
        <v>4600</v>
      </c>
      <c r="C21" s="28">
        <f t="shared" si="1"/>
        <v>4600</v>
      </c>
      <c r="D21" s="28">
        <f t="shared" si="1"/>
        <v>4600</v>
      </c>
      <c r="E21" s="28">
        <f t="shared" si="1"/>
        <v>4599.9999999999991</v>
      </c>
      <c r="F21" s="28">
        <f t="shared" si="1"/>
        <v>4599.9999999999991</v>
      </c>
      <c r="G21" s="28">
        <f t="shared" si="1"/>
        <v>4600</v>
      </c>
      <c r="H21" s="28">
        <f t="shared" si="1"/>
        <v>4600</v>
      </c>
      <c r="I21" s="28">
        <f t="shared" si="1"/>
        <v>4600</v>
      </c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>
        <f>AVERAGE($B21:F21)</f>
        <v>4600</v>
      </c>
      <c r="G22" s="37">
        <f>AVERAGE($B21:G21)</f>
        <v>4600</v>
      </c>
      <c r="H22" s="37">
        <f>AVERAGE($B21:H21)</f>
        <v>4600</v>
      </c>
      <c r="I22" s="37">
        <f>AVERAGE($B21:I21)</f>
        <v>4600</v>
      </c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K17" sqref="K17"/>
    </sheetView>
  </sheetViews>
  <sheetFormatPr defaultRowHeight="12.75" x14ac:dyDescent="0.2"/>
  <cols>
    <col min="1" max="1" width="57.28515625" style="13" customWidth="1"/>
    <col min="2" max="2" width="9.5703125" style="10" customWidth="1"/>
    <col min="3" max="3" width="9.42578125" style="10" customWidth="1"/>
    <col min="4" max="7" width="9" style="11" bestFit="1" customWidth="1"/>
    <col min="8" max="8" width="9" style="11" customWidth="1"/>
    <col min="9" max="9" width="9" style="11" bestFit="1" customWidth="1"/>
    <col min="10" max="10" width="11" style="11" customWidth="1"/>
    <col min="11" max="11" width="9" style="11" customWidth="1"/>
    <col min="12" max="12" width="9.28515625" style="11" customWidth="1"/>
    <col min="13" max="13" width="10.5703125" style="11" customWidth="1"/>
    <col min="14" max="16384" width="9.140625" style="4"/>
  </cols>
  <sheetData>
    <row r="1" spans="1:13" s="1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5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/>
      <c r="C5" s="30"/>
      <c r="D5" s="30">
        <v>400</v>
      </c>
      <c r="E5" s="30">
        <v>400</v>
      </c>
      <c r="F5" s="30">
        <v>400</v>
      </c>
      <c r="G5" s="30">
        <v>400</v>
      </c>
      <c r="H5" s="30"/>
      <c r="I5" s="30">
        <v>400</v>
      </c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>
        <v>610</v>
      </c>
      <c r="G6" s="30">
        <v>610</v>
      </c>
      <c r="H6" s="30">
        <v>610</v>
      </c>
      <c r="I6" s="30">
        <v>610</v>
      </c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>
        <v>80</v>
      </c>
      <c r="E9" s="30">
        <v>80</v>
      </c>
      <c r="F9" s="30">
        <v>80</v>
      </c>
      <c r="G9" s="30">
        <v>80</v>
      </c>
      <c r="H9" s="30"/>
      <c r="I9" s="30">
        <v>80</v>
      </c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/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12" customFormat="1" x14ac:dyDescent="0.2">
      <c r="A12" s="8" t="s">
        <v>27</v>
      </c>
      <c r="B12" s="32">
        <v>3520</v>
      </c>
      <c r="C12" s="32">
        <v>3520</v>
      </c>
      <c r="D12" s="33">
        <f>2160+1360</f>
        <v>3520</v>
      </c>
      <c r="E12" s="33">
        <f>2160+1360</f>
        <v>3520</v>
      </c>
      <c r="F12" s="33">
        <f>1360+2160</f>
        <v>3520</v>
      </c>
      <c r="G12" s="33">
        <f>1360+2160</f>
        <v>3520</v>
      </c>
      <c r="H12" s="33">
        <v>3520</v>
      </c>
      <c r="I12" s="34">
        <f>2160+1360</f>
        <v>3520</v>
      </c>
      <c r="J12" s="33"/>
      <c r="K12" s="33"/>
      <c r="L12" s="33"/>
      <c r="M12" s="33"/>
    </row>
    <row r="13" spans="1:13" s="6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12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6" customFormat="1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I19" si="0">SUM(B5:B18)</f>
        <v>3520</v>
      </c>
      <c r="C19" s="28">
        <f t="shared" si="0"/>
        <v>3520</v>
      </c>
      <c r="D19" s="28">
        <f t="shared" si="0"/>
        <v>4000</v>
      </c>
      <c r="E19" s="28">
        <f t="shared" si="0"/>
        <v>4000</v>
      </c>
      <c r="F19" s="28">
        <f t="shared" si="0"/>
        <v>4610</v>
      </c>
      <c r="G19" s="28">
        <f t="shared" si="0"/>
        <v>4610</v>
      </c>
      <c r="H19" s="28">
        <f t="shared" si="0"/>
        <v>4130</v>
      </c>
      <c r="I19" s="28">
        <f t="shared" si="0"/>
        <v>4610</v>
      </c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>
        <v>10</v>
      </c>
      <c r="G20" s="32">
        <v>10</v>
      </c>
      <c r="H20" s="32"/>
      <c r="I20" s="32">
        <v>10</v>
      </c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I21" si="1">B19-B20</f>
        <v>3520</v>
      </c>
      <c r="C21" s="28">
        <f t="shared" si="1"/>
        <v>3520</v>
      </c>
      <c r="D21" s="28">
        <f t="shared" si="1"/>
        <v>4000</v>
      </c>
      <c r="E21" s="28">
        <f t="shared" si="1"/>
        <v>4000</v>
      </c>
      <c r="F21" s="28">
        <f t="shared" si="1"/>
        <v>4600</v>
      </c>
      <c r="G21" s="28">
        <f t="shared" si="1"/>
        <v>4600</v>
      </c>
      <c r="H21" s="28">
        <f t="shared" si="1"/>
        <v>4130</v>
      </c>
      <c r="I21" s="28">
        <f t="shared" si="1"/>
        <v>4600</v>
      </c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3520</v>
      </c>
      <c r="C22" s="37">
        <f>AVERAGE($B21:C21)</f>
        <v>3520</v>
      </c>
      <c r="D22" s="37">
        <f>AVERAGE($B21:D21)</f>
        <v>3680</v>
      </c>
      <c r="E22" s="37">
        <f>AVERAGE($B21:E21)</f>
        <v>3760</v>
      </c>
      <c r="F22" s="37">
        <f>AVERAGE($B21:F21)</f>
        <v>3928</v>
      </c>
      <c r="G22" s="37">
        <f>AVERAGE($B21:G21)</f>
        <v>4040</v>
      </c>
      <c r="H22" s="37">
        <f>AVERAGE($B21:H21)</f>
        <v>4052.8571428571427</v>
      </c>
      <c r="I22" s="37">
        <f>AVERAGE($B21:I21)</f>
        <v>4121.25</v>
      </c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J22" sqref="J22"/>
    </sheetView>
  </sheetViews>
  <sheetFormatPr defaultRowHeight="11.25" x14ac:dyDescent="0.2"/>
  <cols>
    <col min="1" max="1" width="61.85546875" style="4" customWidth="1"/>
    <col min="2" max="2" width="9.42578125" style="10" customWidth="1"/>
    <col min="3" max="3" width="9" style="10" bestFit="1" customWidth="1"/>
    <col min="4" max="7" width="9" style="11" bestFit="1" customWidth="1"/>
    <col min="8" max="8" width="9.140625" style="11" customWidth="1"/>
    <col min="9" max="9" width="9.42578125" style="11" customWidth="1"/>
    <col min="10" max="10" width="9" style="11" bestFit="1" customWidth="1"/>
    <col min="11" max="11" width="8.7109375" style="11" customWidth="1"/>
    <col min="12" max="12" width="9.7109375" style="11" customWidth="1"/>
    <col min="13" max="13" width="9.28515625" style="11" customWidth="1"/>
    <col min="14" max="16384" width="9.140625" style="4"/>
  </cols>
  <sheetData>
    <row r="1" spans="1:14" s="1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4" ht="21.75" thickBot="1" x14ac:dyDescent="0.25">
      <c r="A2" s="48" t="s">
        <v>63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4" s="5" customFormat="1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4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4" ht="12.75" x14ac:dyDescent="0.2">
      <c r="A5" s="7" t="s">
        <v>20</v>
      </c>
      <c r="B5" s="30">
        <v>1324</v>
      </c>
      <c r="C5" s="30">
        <v>1324</v>
      </c>
      <c r="D5" s="30">
        <v>1324</v>
      </c>
      <c r="E5" s="30">
        <v>1324</v>
      </c>
      <c r="F5" s="30">
        <v>1324</v>
      </c>
      <c r="G5" s="30">
        <v>1324</v>
      </c>
      <c r="H5" s="30"/>
      <c r="I5" s="30"/>
      <c r="J5" s="30"/>
      <c r="K5" s="30"/>
      <c r="L5" s="30"/>
      <c r="M5" s="30"/>
    </row>
    <row r="6" spans="1:14" ht="12.75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 ht="12.75" x14ac:dyDescent="0.2">
      <c r="A7" s="31" t="s">
        <v>22</v>
      </c>
      <c r="B7" s="30">
        <v>0</v>
      </c>
      <c r="C7" s="30"/>
      <c r="D7" s="30">
        <v>118.88</v>
      </c>
      <c r="E7" s="30">
        <v>113.82</v>
      </c>
      <c r="F7" s="30">
        <v>114.19</v>
      </c>
      <c r="G7" s="30">
        <v>106.33</v>
      </c>
      <c r="H7" s="30">
        <v>120.12</v>
      </c>
      <c r="I7" s="30"/>
      <c r="J7" s="30"/>
      <c r="K7" s="30"/>
      <c r="L7" s="30"/>
      <c r="M7" s="30"/>
    </row>
    <row r="8" spans="1:14" ht="12.75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 ht="12.75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 ht="12.75" x14ac:dyDescent="0.2">
      <c r="A10" s="31" t="s">
        <v>25</v>
      </c>
      <c r="B10" s="30">
        <v>197.36</v>
      </c>
      <c r="C10" s="30">
        <v>195.93</v>
      </c>
      <c r="D10" s="30">
        <f>202.71+134.75</f>
        <v>337.46000000000004</v>
      </c>
      <c r="E10" s="30">
        <f>205.71+131.89</f>
        <v>337.6</v>
      </c>
      <c r="F10" s="30">
        <f>135.07+205.71</f>
        <v>340.78</v>
      </c>
      <c r="G10" s="30">
        <f>189.1+251.85</f>
        <v>440.95</v>
      </c>
      <c r="H10" s="30">
        <v>204.35</v>
      </c>
      <c r="I10" s="30">
        <v>209.85</v>
      </c>
      <c r="J10" s="30"/>
      <c r="K10" s="30"/>
      <c r="L10" s="30"/>
      <c r="M10" s="30"/>
    </row>
    <row r="11" spans="1:14" ht="12.75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4" s="12" customFormat="1" ht="12.75" x14ac:dyDescent="0.2">
      <c r="A12" s="8" t="s">
        <v>27</v>
      </c>
      <c r="B12" s="32">
        <v>0</v>
      </c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  <c r="N12" s="24"/>
    </row>
    <row r="13" spans="1:14" s="6" customFormat="1" ht="12.75" x14ac:dyDescent="0.2">
      <c r="A13" s="8" t="s">
        <v>28</v>
      </c>
      <c r="B13" s="32">
        <v>2400.87</v>
      </c>
      <c r="C13" s="32">
        <f>1914.8+833.8</f>
        <v>2748.6</v>
      </c>
      <c r="D13" s="33">
        <f>1605.8+341.5</f>
        <v>1947.3</v>
      </c>
      <c r="E13" s="33"/>
      <c r="F13" s="33"/>
      <c r="G13" s="33"/>
      <c r="H13" s="33"/>
      <c r="I13" s="33">
        <f>1392.06+428.35</f>
        <v>1820.4099999999999</v>
      </c>
      <c r="J13" s="33"/>
      <c r="K13" s="33"/>
      <c r="L13" s="33"/>
      <c r="M13" s="33"/>
    </row>
    <row r="14" spans="1:14" s="12" customFormat="1" ht="12.75" x14ac:dyDescent="0.2">
      <c r="A14" s="8" t="s">
        <v>29</v>
      </c>
      <c r="B14" s="32">
        <v>0</v>
      </c>
      <c r="C14" s="32"/>
      <c r="D14" s="33"/>
      <c r="E14" s="33"/>
      <c r="F14" s="33">
        <v>2000</v>
      </c>
      <c r="G14" s="33">
        <v>2000</v>
      </c>
      <c r="H14" s="33">
        <v>2000</v>
      </c>
      <c r="I14" s="33">
        <v>2000</v>
      </c>
      <c r="J14" s="33"/>
      <c r="K14" s="33"/>
      <c r="L14" s="33"/>
      <c r="M14" s="33"/>
    </row>
    <row r="15" spans="1:14" s="6" customFormat="1" ht="12.75" x14ac:dyDescent="0.2">
      <c r="A15" s="9" t="s">
        <v>30</v>
      </c>
      <c r="B15" s="32">
        <v>530</v>
      </c>
      <c r="C15" s="32">
        <v>280</v>
      </c>
      <c r="D15" s="32"/>
      <c r="E15" s="32">
        <f>180+150+280</f>
        <v>610</v>
      </c>
      <c r="F15" s="32">
        <f>150+156+280</f>
        <v>586</v>
      </c>
      <c r="G15" s="32">
        <f>280+350</f>
        <v>630</v>
      </c>
      <c r="H15" s="32">
        <v>200</v>
      </c>
      <c r="I15" s="32">
        <f>150+410</f>
        <v>560</v>
      </c>
      <c r="J15" s="32"/>
      <c r="K15" s="32"/>
      <c r="L15" s="32"/>
      <c r="M15" s="32"/>
    </row>
    <row r="16" spans="1:14" s="6" customFormat="1" ht="12.75" x14ac:dyDescent="0.2">
      <c r="A16" s="8" t="s">
        <v>31</v>
      </c>
      <c r="B16" s="32">
        <v>0</v>
      </c>
      <c r="C16" s="32"/>
      <c r="D16" s="32"/>
      <c r="E16" s="33"/>
      <c r="F16" s="33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2">
        <v>0</v>
      </c>
      <c r="C17" s="32"/>
      <c r="D17" s="32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2"/>
      <c r="G18" s="32"/>
      <c r="H18" s="32">
        <v>280</v>
      </c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I19" si="0">SUM(B5:B18)</f>
        <v>4452.2299999999996</v>
      </c>
      <c r="C19" s="28">
        <f t="shared" si="0"/>
        <v>4548.53</v>
      </c>
      <c r="D19" s="28">
        <f t="shared" si="0"/>
        <v>3727.6400000000003</v>
      </c>
      <c r="E19" s="28">
        <f t="shared" si="0"/>
        <v>2385.42</v>
      </c>
      <c r="F19" s="28">
        <f t="shared" si="0"/>
        <v>4364.97</v>
      </c>
      <c r="G19" s="28">
        <f t="shared" si="0"/>
        <v>4501.28</v>
      </c>
      <c r="H19" s="28">
        <f t="shared" si="0"/>
        <v>2804.4700000000003</v>
      </c>
      <c r="I19" s="28">
        <f t="shared" si="0"/>
        <v>4590.26</v>
      </c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>
        <f>2.82+2.86</f>
        <v>5.68</v>
      </c>
      <c r="E20" s="32">
        <v>1.94</v>
      </c>
      <c r="F20" s="32">
        <f>150+1.89+3.18+156</f>
        <v>311.07</v>
      </c>
      <c r="G20" s="32">
        <v>2.99</v>
      </c>
      <c r="H20" s="32"/>
      <c r="I20" s="32">
        <v>4.1399999999999997</v>
      </c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I21" si="1">B19-B20</f>
        <v>4452.2299999999996</v>
      </c>
      <c r="C21" s="28">
        <f t="shared" si="1"/>
        <v>4548.53</v>
      </c>
      <c r="D21" s="28">
        <f t="shared" si="1"/>
        <v>3721.9600000000005</v>
      </c>
      <c r="E21" s="28">
        <f t="shared" si="1"/>
        <v>2383.48</v>
      </c>
      <c r="F21" s="28">
        <f t="shared" si="1"/>
        <v>4053.9</v>
      </c>
      <c r="G21" s="28">
        <f t="shared" si="1"/>
        <v>4498.29</v>
      </c>
      <c r="H21" s="28">
        <f t="shared" si="1"/>
        <v>2804.4700000000003</v>
      </c>
      <c r="I21" s="28">
        <f t="shared" si="1"/>
        <v>4586.12</v>
      </c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4452.2299999999996</v>
      </c>
      <c r="C22" s="37">
        <f>AVERAGE($B21:C21)</f>
        <v>4500.3799999999992</v>
      </c>
      <c r="D22" s="37">
        <f>AVERAGE($B21:D21)</f>
        <v>4240.9066666666668</v>
      </c>
      <c r="E22" s="37">
        <f>AVERAGE($B21:E21)</f>
        <v>3776.5499999999997</v>
      </c>
      <c r="F22" s="37">
        <f>AVERAGE($B21:F21)</f>
        <v>3832.0199999999995</v>
      </c>
      <c r="G22" s="37">
        <f>AVERAGE($B21:G21)</f>
        <v>3943.0650000000001</v>
      </c>
      <c r="H22" s="37">
        <f>AVERAGE($B21:H21)</f>
        <v>3780.4085714285716</v>
      </c>
      <c r="I22" s="37">
        <f>AVERAGE($B21:I21)</f>
        <v>3881.1224999999999</v>
      </c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I23" sqref="I23"/>
    </sheetView>
  </sheetViews>
  <sheetFormatPr defaultRowHeight="12" x14ac:dyDescent="0.2"/>
  <cols>
    <col min="1" max="1" width="52.140625" style="3" customWidth="1"/>
    <col min="2" max="3" width="9" style="10" bestFit="1" customWidth="1"/>
    <col min="4" max="7" width="9" style="11" bestFit="1" customWidth="1"/>
    <col min="8" max="8" width="8.85546875" style="11" customWidth="1"/>
    <col min="9" max="10" width="9" style="11" bestFit="1" customWidth="1"/>
    <col min="11" max="11" width="8.7109375" style="11" customWidth="1"/>
    <col min="12" max="12" width="9.5703125" style="11" customWidth="1"/>
    <col min="13" max="13" width="9.28515625" style="11" customWidth="1"/>
    <col min="14" max="16384" width="9.140625" style="4"/>
  </cols>
  <sheetData>
    <row r="1" spans="1:13" s="1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62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ht="12.75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12.75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12.75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12.75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ht="12.75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ht="12.75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 ht="12.75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6" customFormat="1" ht="12.75" x14ac:dyDescent="0.2">
      <c r="A12" s="8" t="s">
        <v>27</v>
      </c>
      <c r="B12" s="32">
        <v>4704</v>
      </c>
      <c r="C12" s="32">
        <v>4704</v>
      </c>
      <c r="D12" s="33"/>
      <c r="E12" s="33">
        <v>4704</v>
      </c>
      <c r="F12" s="33">
        <v>4704</v>
      </c>
      <c r="G12" s="33">
        <v>4704</v>
      </c>
      <c r="H12" s="33">
        <v>4704</v>
      </c>
      <c r="I12" s="34">
        <v>4704</v>
      </c>
      <c r="J12" s="33"/>
      <c r="K12" s="33"/>
      <c r="L12" s="33"/>
      <c r="M12" s="33"/>
    </row>
    <row r="13" spans="1:13" s="12" customFormat="1" ht="12.75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ht="12.75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4704</v>
      </c>
      <c r="C19" s="28">
        <f>SUM(C5:C18)</f>
        <v>4704</v>
      </c>
      <c r="D19" s="28" t="s">
        <v>35</v>
      </c>
      <c r="E19" s="28">
        <f>SUM(E5:E18)</f>
        <v>4704</v>
      </c>
      <c r="F19" s="28">
        <f>SUM(F5:F18)</f>
        <v>4704</v>
      </c>
      <c r="G19" s="28">
        <f>SUM(G5:G18)</f>
        <v>4704</v>
      </c>
      <c r="H19" s="28">
        <f>SUM(H5:H18)</f>
        <v>4704</v>
      </c>
      <c r="I19" s="28">
        <f>SUM(I5:I18)</f>
        <v>4704</v>
      </c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104</v>
      </c>
      <c r="C20" s="32">
        <v>104</v>
      </c>
      <c r="D20" s="32"/>
      <c r="E20" s="32">
        <v>104</v>
      </c>
      <c r="F20" s="32">
        <v>104</v>
      </c>
      <c r="G20" s="32">
        <v>104</v>
      </c>
      <c r="H20" s="32">
        <v>104</v>
      </c>
      <c r="I20" s="32">
        <v>104</v>
      </c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4600</v>
      </c>
      <c r="D21" s="28">
        <v>0</v>
      </c>
      <c r="E21" s="28">
        <f>E19-E20</f>
        <v>4600</v>
      </c>
      <c r="F21" s="28">
        <f>F19-F20</f>
        <v>4600</v>
      </c>
      <c r="G21" s="28">
        <f>G19-G20</f>
        <v>4600</v>
      </c>
      <c r="H21" s="28">
        <f>H19-H20</f>
        <v>4600</v>
      </c>
      <c r="I21" s="28">
        <f>I19-I20</f>
        <v>4600</v>
      </c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3066.6666666666665</v>
      </c>
      <c r="E22" s="37">
        <f>AVERAGE($B21:E21)</f>
        <v>3450</v>
      </c>
      <c r="F22" s="37">
        <f>AVERAGE($B21:F21)</f>
        <v>3680</v>
      </c>
      <c r="G22" s="37">
        <f>AVERAGE($B21:G21)</f>
        <v>3833.3333333333335</v>
      </c>
      <c r="H22" s="37">
        <f>AVERAGE($B21:H21)</f>
        <v>3942.8571428571427</v>
      </c>
      <c r="I22" s="37">
        <f>AVERAGE($B21:I21)</f>
        <v>4025</v>
      </c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J25" sqref="J25"/>
    </sheetView>
  </sheetViews>
  <sheetFormatPr defaultRowHeight="12.75" x14ac:dyDescent="0.2"/>
  <cols>
    <col min="1" max="1" width="58.28515625" style="21" customWidth="1"/>
    <col min="2" max="2" width="10.140625" style="15" customWidth="1"/>
    <col min="3" max="3" width="9" style="15" bestFit="1" customWidth="1"/>
    <col min="4" max="7" width="9" style="16" bestFit="1" customWidth="1"/>
    <col min="8" max="8" width="11" style="16" bestFit="1" customWidth="1"/>
    <col min="9" max="11" width="9" style="16" bestFit="1" customWidth="1"/>
    <col min="12" max="12" width="9" style="16" customWidth="1"/>
    <col min="13" max="13" width="10.2851562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65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4620</v>
      </c>
      <c r="C12" s="32">
        <v>4312</v>
      </c>
      <c r="D12" s="32">
        <v>4620</v>
      </c>
      <c r="E12" s="33">
        <f>2310+2310</f>
        <v>4620</v>
      </c>
      <c r="F12" s="33">
        <v>4774</v>
      </c>
      <c r="G12" s="33">
        <v>4620</v>
      </c>
      <c r="H12" s="33">
        <v>2387</v>
      </c>
      <c r="I12" s="34">
        <f>2387+2387</f>
        <v>4774</v>
      </c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/>
      <c r="C15" s="32"/>
      <c r="D15" s="32"/>
      <c r="E15" s="32"/>
      <c r="F15" s="30"/>
      <c r="G15" s="32"/>
      <c r="H15" s="32">
        <v>1662.88</v>
      </c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3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3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I19" si="0">SUM(B5:B18)</f>
        <v>4620</v>
      </c>
      <c r="C19" s="28">
        <f t="shared" si="0"/>
        <v>4312</v>
      </c>
      <c r="D19" s="28">
        <f t="shared" si="0"/>
        <v>4620</v>
      </c>
      <c r="E19" s="28">
        <f t="shared" si="0"/>
        <v>4620</v>
      </c>
      <c r="F19" s="28">
        <f t="shared" si="0"/>
        <v>4774</v>
      </c>
      <c r="G19" s="28">
        <f t="shared" si="0"/>
        <v>4620</v>
      </c>
      <c r="H19" s="28">
        <f t="shared" si="0"/>
        <v>4049.88</v>
      </c>
      <c r="I19" s="28">
        <f t="shared" si="0"/>
        <v>4774</v>
      </c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20</v>
      </c>
      <c r="C20" s="32"/>
      <c r="D20" s="32">
        <v>20</v>
      </c>
      <c r="E20" s="32">
        <v>20</v>
      </c>
      <c r="F20" s="32">
        <v>174</v>
      </c>
      <c r="G20" s="32">
        <v>20</v>
      </c>
      <c r="H20" s="32"/>
      <c r="I20" s="32">
        <v>174</v>
      </c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I21" si="1">B19-B20</f>
        <v>4600</v>
      </c>
      <c r="C21" s="28">
        <f t="shared" si="1"/>
        <v>4312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4600</v>
      </c>
      <c r="H21" s="28">
        <f t="shared" si="1"/>
        <v>4049.88</v>
      </c>
      <c r="I21" s="28">
        <f t="shared" si="1"/>
        <v>4600</v>
      </c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4456</v>
      </c>
      <c r="D22" s="37">
        <f>AVERAGE($B21:D21)</f>
        <v>4504</v>
      </c>
      <c r="E22" s="37">
        <f>AVERAGE($B21:E21)</f>
        <v>4528</v>
      </c>
      <c r="F22" s="37">
        <f>AVERAGE($B21:F21)</f>
        <v>4542.3999999999996</v>
      </c>
      <c r="G22" s="37">
        <f>AVERAGE($B21:G21)</f>
        <v>4552</v>
      </c>
      <c r="H22" s="37">
        <f>AVERAGE($B21:H21)</f>
        <v>4480.2685714285717</v>
      </c>
      <c r="I22" s="37">
        <f>AVERAGE($B21:I21)</f>
        <v>4495.2350000000006</v>
      </c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Normal="100" workbookViewId="0">
      <selection activeCell="I24" sqref="I24"/>
    </sheetView>
  </sheetViews>
  <sheetFormatPr defaultRowHeight="12.75" x14ac:dyDescent="0.2"/>
  <cols>
    <col min="1" max="1" width="60.7109375" style="21" customWidth="1"/>
    <col min="2" max="2" width="9.28515625" style="15" customWidth="1"/>
    <col min="3" max="3" width="7.5703125" style="15" customWidth="1"/>
    <col min="4" max="4" width="7.85546875" style="16" customWidth="1"/>
    <col min="5" max="5" width="8.7109375" style="16" customWidth="1"/>
    <col min="6" max="6" width="7.7109375" style="16" customWidth="1"/>
    <col min="7" max="7" width="7.85546875" style="16" customWidth="1"/>
    <col min="8" max="8" width="7.7109375" style="16" customWidth="1"/>
    <col min="9" max="10" width="8.28515625" style="16" customWidth="1"/>
    <col min="11" max="11" width="9" style="16" customWidth="1"/>
    <col min="12" max="12" width="8.42578125" style="16" customWidth="1"/>
    <col min="13" max="13" width="8.14062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52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149.97999999999999</v>
      </c>
      <c r="C10" s="30">
        <v>149.97999999999999</v>
      </c>
      <c r="D10" s="30">
        <v>148.55000000000001</v>
      </c>
      <c r="E10" s="30">
        <v>156.82</v>
      </c>
      <c r="F10" s="30">
        <v>142.81</v>
      </c>
      <c r="G10" s="30">
        <v>143.16999999999999</v>
      </c>
      <c r="H10" s="30">
        <v>147.93</v>
      </c>
      <c r="I10" s="30">
        <v>153.15</v>
      </c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>
        <v>53.7</v>
      </c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4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4" ht="13.5" thickBot="1" x14ac:dyDescent="0.25">
      <c r="A18" s="14" t="s">
        <v>33</v>
      </c>
      <c r="B18" s="45">
        <v>125</v>
      </c>
      <c r="C18" s="30"/>
      <c r="D18" s="30"/>
      <c r="E18" s="30">
        <v>1160</v>
      </c>
      <c r="F18" s="30"/>
      <c r="G18" s="32"/>
      <c r="H18" s="32"/>
      <c r="I18" s="32"/>
      <c r="J18" s="32"/>
      <c r="K18" s="32"/>
      <c r="L18" s="32"/>
      <c r="M18" s="32"/>
    </row>
    <row r="19" spans="1:14" ht="13.5" thickBot="1" x14ac:dyDescent="0.25">
      <c r="A19" s="27" t="s">
        <v>34</v>
      </c>
      <c r="B19" s="46">
        <f t="shared" ref="B19:I19" si="0">SUM(B5:B18)</f>
        <v>274.98</v>
      </c>
      <c r="C19" s="46">
        <f t="shared" si="0"/>
        <v>149.97999999999999</v>
      </c>
      <c r="D19" s="46">
        <f t="shared" si="0"/>
        <v>148.55000000000001</v>
      </c>
      <c r="E19" s="46">
        <f t="shared" si="0"/>
        <v>1316.82</v>
      </c>
      <c r="F19" s="46">
        <f t="shared" si="0"/>
        <v>142.81</v>
      </c>
      <c r="G19" s="46">
        <f t="shared" si="0"/>
        <v>196.87</v>
      </c>
      <c r="H19" s="46">
        <f t="shared" si="0"/>
        <v>147.93</v>
      </c>
      <c r="I19" s="46">
        <f t="shared" si="0"/>
        <v>153.15</v>
      </c>
      <c r="J19" s="28"/>
      <c r="K19" s="28"/>
      <c r="L19" s="28"/>
      <c r="M19" s="28"/>
    </row>
    <row r="20" spans="1:14" ht="13.5" thickBot="1" x14ac:dyDescent="0.25">
      <c r="A20" s="36" t="s">
        <v>14</v>
      </c>
      <c r="B20" s="29">
        <v>0</v>
      </c>
      <c r="C20" s="32"/>
      <c r="D20" s="32"/>
      <c r="E20" s="32">
        <v>6.84</v>
      </c>
      <c r="F20" s="32"/>
      <c r="G20" s="32">
        <v>54.32</v>
      </c>
      <c r="H20" s="32">
        <v>3.14</v>
      </c>
      <c r="I20" s="32">
        <v>3.17</v>
      </c>
      <c r="J20" s="32"/>
      <c r="K20" s="32"/>
      <c r="L20" s="32"/>
      <c r="M20" s="32"/>
    </row>
    <row r="21" spans="1:14" ht="13.5" thickBot="1" x14ac:dyDescent="0.25">
      <c r="A21" s="27" t="s">
        <v>15</v>
      </c>
      <c r="B21" s="28">
        <f t="shared" ref="B21:I21" si="1">B19-B20</f>
        <v>274.98</v>
      </c>
      <c r="C21" s="28">
        <f t="shared" si="1"/>
        <v>149.97999999999999</v>
      </c>
      <c r="D21" s="28">
        <f t="shared" si="1"/>
        <v>148.55000000000001</v>
      </c>
      <c r="E21" s="28">
        <f t="shared" si="1"/>
        <v>1309.98</v>
      </c>
      <c r="F21" s="28">
        <f t="shared" si="1"/>
        <v>142.81</v>
      </c>
      <c r="G21" s="28">
        <f t="shared" si="1"/>
        <v>142.55000000000001</v>
      </c>
      <c r="H21" s="28">
        <f t="shared" si="1"/>
        <v>144.79000000000002</v>
      </c>
      <c r="I21" s="28">
        <f t="shared" si="1"/>
        <v>149.98000000000002</v>
      </c>
      <c r="J21" s="28"/>
      <c r="K21" s="28"/>
      <c r="L21" s="28"/>
      <c r="M21" s="28"/>
    </row>
    <row r="22" spans="1:14" ht="13.5" thickBot="1" x14ac:dyDescent="0.25">
      <c r="A22" s="36" t="s">
        <v>12</v>
      </c>
      <c r="B22" s="37">
        <f>AVERAGE(B21)</f>
        <v>274.98</v>
      </c>
      <c r="C22" s="37">
        <f>AVERAGE($B21:C21)</f>
        <v>212.48000000000002</v>
      </c>
      <c r="D22" s="37">
        <f>AVERAGE($B21:D21)</f>
        <v>191.17</v>
      </c>
      <c r="E22" s="37">
        <f>AVERAGE($B21:E21)</f>
        <v>470.8725</v>
      </c>
      <c r="F22" s="37">
        <f>AVERAGE($B21:F21)</f>
        <v>405.26</v>
      </c>
      <c r="G22" s="37">
        <f>AVERAGE($B21:G21)</f>
        <v>361.47499999999997</v>
      </c>
      <c r="H22" s="37">
        <f>AVERAGE($B21:H21)</f>
        <v>330.52</v>
      </c>
      <c r="I22" s="37">
        <f>AVERAGE($B21:I21)</f>
        <v>307.95249999999999</v>
      </c>
      <c r="J22" s="37"/>
      <c r="K22" s="37"/>
      <c r="L22" s="37"/>
      <c r="M22" s="37"/>
    </row>
    <row r="23" spans="1:14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4" ht="15" x14ac:dyDescent="0.25">
      <c r="A24"/>
      <c r="N24" s="18" t="s">
        <v>39</v>
      </c>
    </row>
    <row r="26" spans="1:14" x14ac:dyDescent="0.2">
      <c r="A26" s="21" t="s">
        <v>37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39</vt:i4>
      </vt:variant>
    </vt:vector>
  </HeadingPairs>
  <TitlesOfParts>
    <vt:vector size="39" baseType="lpstr">
      <vt:lpstr>ADERALDO OLIVEIRA</vt:lpstr>
      <vt:lpstr>AERTO LUNA</vt:lpstr>
      <vt:lpstr>AIMÉE SILVA</vt:lpstr>
      <vt:lpstr>ALCIDES TEIXEIRA NETO</vt:lpstr>
      <vt:lpstr>ALINE MARIANO</vt:lpstr>
      <vt:lpstr>ALMIR FERNANDO</vt:lpstr>
      <vt:lpstr>AMARO CIPRIANO</vt:lpstr>
      <vt:lpstr>ANA LÚCIA</vt:lpstr>
      <vt:lpstr>ANDRÉ RÉGIS</vt:lpstr>
      <vt:lpstr>ANTONIO LUIZ NETO</vt:lpstr>
      <vt:lpstr>AUGUSTO CARRERAS</vt:lpstr>
      <vt:lpstr>BENJAMIN DA SAÚDE</vt:lpstr>
      <vt:lpstr>CARLOS GUEIROS</vt:lpstr>
      <vt:lpstr>CHICO KIKO</vt:lpstr>
      <vt:lpstr>DAVI MUNIZ</vt:lpstr>
      <vt:lpstr>DAIZE MICHELE</vt:lpstr>
      <vt:lpstr>EDUARDO CHERA</vt:lpstr>
      <vt:lpstr>EDUARDO MARQUES</vt:lpstr>
      <vt:lpstr>FELIPE FRANCISMAR</vt:lpstr>
      <vt:lpstr>FRED FERREIRA</vt:lpstr>
      <vt:lpstr>GILBERTO ALVES</vt:lpstr>
      <vt:lpstr>HÉLIO GUABIRARA</vt:lpstr>
      <vt:lpstr>IVAN MORAES</vt:lpstr>
      <vt:lpstr>JAYME ASFORA</vt:lpstr>
      <vt:lpstr>JAIRO BRITTO</vt:lpstr>
      <vt:lpstr>JÚNIOR BOCÃO</vt:lpstr>
      <vt:lpstr>MARCO AURÉLIO</vt:lpstr>
      <vt:lpstr>MARÍLIA ARRAES</vt:lpstr>
      <vt:lpstr>MARCOS DI BRIA</vt:lpstr>
      <vt:lpstr>NATÁLIA DE MENUDO</vt:lpstr>
      <vt:lpstr>RAFAEL ACIOLI</vt:lpstr>
      <vt:lpstr>RINALDO JÚNIOR</vt:lpstr>
      <vt:lpstr>RENATO ANTUNES</vt:lpstr>
      <vt:lpstr>RICARDO CRUZ</vt:lpstr>
      <vt:lpstr>RODRIGO COUTINHO</vt:lpstr>
      <vt:lpstr>ROGÉRIO DE LUCCA</vt:lpstr>
      <vt:lpstr>ROMERINHO JATOBÁ </vt:lpstr>
      <vt:lpstr>ROMERO ALBUQUERQUE</vt:lpstr>
      <vt:lpstr>WANDERSON SOBRAL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USER</cp:lastModifiedBy>
  <cp:lastPrinted>2017-04-12T13:26:31Z</cp:lastPrinted>
  <dcterms:created xsi:type="dcterms:W3CDTF">2010-04-15T12:47:32Z</dcterms:created>
  <dcterms:modified xsi:type="dcterms:W3CDTF">2018-09-17T15:33:56Z</dcterms:modified>
</cp:coreProperties>
</file>