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210" windowWidth="15390" windowHeight="5430" firstSheet="35" activeTab="38"/>
  </bookViews>
  <sheets>
    <sheet name="ADERALDO OLIVEIRA" sheetId="29" r:id="rId1"/>
    <sheet name="AERTO LUNA" sheetId="2" r:id="rId2"/>
    <sheet name="AIMÉE SILVA" sheetId="30" r:id="rId3"/>
    <sheet name="ALCIDES TEIXEIRA NETO" sheetId="4" r:id="rId4"/>
    <sheet name="ALINE MARIANO" sheetId="5" r:id="rId5"/>
    <sheet name="ALMIR FERNANDO" sheetId="6" r:id="rId6"/>
    <sheet name="AMARO CIPRIANO" sheetId="7" r:id="rId7"/>
    <sheet name="ANA LÚCIA" sheetId="12" r:id="rId8"/>
    <sheet name="ANDRÉ RÉGIS" sheetId="26" r:id="rId9"/>
    <sheet name="ANTONIO LUIZ NETO" sheetId="9" r:id="rId10"/>
    <sheet name="AUGUSTO CARRERAS" sheetId="10" r:id="rId11"/>
    <sheet name="BENJAMIN DA SAÚDE" sheetId="14" r:id="rId12"/>
    <sheet name="CARLOS GUEIROS" sheetId="11" r:id="rId13"/>
    <sheet name="CHICO KIKO" sheetId="17" r:id="rId14"/>
    <sheet name="DAVI MUNIZ" sheetId="16" r:id="rId15"/>
    <sheet name="DAIZE MICHELE" sheetId="3" r:id="rId16"/>
    <sheet name="EDUARDO CHERA" sheetId="37" r:id="rId17"/>
    <sheet name="EDUARDO MARQUES" sheetId="13" r:id="rId18"/>
    <sheet name="FELIPE FRANCISMAR" sheetId="21" r:id="rId19"/>
    <sheet name="FRED FERREIRA" sheetId="33" r:id="rId20"/>
    <sheet name="GILBERTO ALVES" sheetId="15" r:id="rId21"/>
    <sheet name="HÉLIO GUABIRARA" sheetId="20" r:id="rId22"/>
    <sheet name="IVAN MORAES" sheetId="25" r:id="rId23"/>
    <sheet name="JAYME ASFORA" sheetId="23" r:id="rId24"/>
    <sheet name="JAIRO BRITTO" sheetId="19" r:id="rId25"/>
    <sheet name="JÚNIOR BOCÃO" sheetId="22" r:id="rId26"/>
    <sheet name="MARCO AURÉLIO" sheetId="28" r:id="rId27"/>
    <sheet name="MARÍLIA ARRAES" sheetId="41" r:id="rId28"/>
    <sheet name="MARCOS DI BRIA" sheetId="27" r:id="rId29"/>
    <sheet name="NATÁLIA DE MENUDO" sheetId="35" r:id="rId30"/>
    <sheet name="RAFAEL ACIOLI" sheetId="8" r:id="rId31"/>
    <sheet name="RINALDO JÚNIOR" sheetId="47" r:id="rId32"/>
    <sheet name="RENATO ANTUNES" sheetId="31" r:id="rId33"/>
    <sheet name="RICARDO CRUZ" sheetId="40" r:id="rId34"/>
    <sheet name="RODRIGO COUTINHO" sheetId="45" r:id="rId35"/>
    <sheet name="ROGÉRIO DE LUCCA" sheetId="38" r:id="rId36"/>
    <sheet name="ROMERINHO JATOBÁ " sheetId="24" r:id="rId37"/>
    <sheet name="ROMERO ALBUQUERQUE" sheetId="46" r:id="rId38"/>
    <sheet name="WANDERSON SOBRAL" sheetId="44" r:id="rId39"/>
    <sheet name="3" sheetId="42" r:id="rId40"/>
    <sheet name="4" sheetId="49" r:id="rId41"/>
    <sheet name="5" sheetId="32" r:id="rId42"/>
    <sheet name=".." sheetId="18" r:id="rId43"/>
    <sheet name="6" sheetId="34" r:id="rId44"/>
  </sheets>
  <calcPr calcId="125725"/>
</workbook>
</file>

<file path=xl/calcChain.xml><?xml version="1.0" encoding="utf-8"?>
<calcChain xmlns="http://schemas.openxmlformats.org/spreadsheetml/2006/main">
  <c r="H22" i="45"/>
  <c r="H22" i="4"/>
  <c r="G22"/>
  <c r="H22" i="10"/>
  <c r="G22"/>
  <c r="F22"/>
  <c r="E22"/>
  <c r="H22" i="44" l="1"/>
  <c r="H21"/>
  <c r="H19"/>
  <c r="H19" i="46"/>
  <c r="H21" s="1"/>
  <c r="H22" s="1"/>
  <c r="H22" i="24"/>
  <c r="H21"/>
  <c r="H19"/>
  <c r="G22" i="45"/>
  <c r="H19"/>
  <c r="H19" i="40"/>
  <c r="H21" s="1"/>
  <c r="H22" s="1"/>
  <c r="H22" i="31"/>
  <c r="G22"/>
  <c r="F22"/>
  <c r="E22"/>
  <c r="H22" i="8"/>
  <c r="H19"/>
  <c r="H21" s="1"/>
  <c r="H19" i="35"/>
  <c r="H21" s="1"/>
  <c r="H22" i="27"/>
  <c r="H21"/>
  <c r="H19"/>
  <c r="H22" i="41"/>
  <c r="H19"/>
  <c r="H19" i="28"/>
  <c r="H21" s="1"/>
  <c r="H22" s="1"/>
  <c r="H12" i="22"/>
  <c r="H19" s="1"/>
  <c r="H21" s="1"/>
  <c r="H22" s="1"/>
  <c r="H22" i="19"/>
  <c r="H21"/>
  <c r="H19"/>
  <c r="H15" i="23"/>
  <c r="H19" s="1"/>
  <c r="H21" s="1"/>
  <c r="H22" s="1"/>
  <c r="H9" i="25"/>
  <c r="H19" s="1"/>
  <c r="H21" s="1"/>
  <c r="H22" s="1"/>
  <c r="H21" i="20"/>
  <c r="H22" s="1"/>
  <c r="H19"/>
  <c r="H19" i="15"/>
  <c r="H21" s="1"/>
  <c r="H22" s="1"/>
  <c r="H19" i="33"/>
  <c r="H22" i="21"/>
  <c r="H21"/>
  <c r="H19"/>
  <c r="H19" i="37"/>
  <c r="H21" s="1"/>
  <c r="H22" s="1"/>
  <c r="H20" i="16"/>
  <c r="H21" s="1"/>
  <c r="H22" s="1"/>
  <c r="H19"/>
  <c r="H22" i="3"/>
  <c r="H19"/>
  <c r="H15"/>
  <c r="H19" i="17"/>
  <c r="H21" s="1"/>
  <c r="H22" s="1"/>
  <c r="H18" i="11"/>
  <c r="H19" s="1"/>
  <c r="H21" s="1"/>
  <c r="H22" s="1"/>
  <c r="H15"/>
  <c r="H9" i="14" l="1"/>
  <c r="H19" s="1"/>
  <c r="H21" s="1"/>
  <c r="H22" s="1"/>
  <c r="H19" i="10"/>
  <c r="H19" i="9"/>
  <c r="H21" s="1"/>
  <c r="H22" s="1"/>
  <c r="H22" i="26"/>
  <c r="H22" i="12"/>
  <c r="H19" i="7"/>
  <c r="H21" s="1"/>
  <c r="H22" s="1"/>
  <c r="H22" i="6"/>
  <c r="H19"/>
  <c r="H13"/>
  <c r="H15"/>
  <c r="H19" i="5"/>
  <c r="H21" s="1"/>
  <c r="H22" s="1"/>
  <c r="H19" i="4"/>
  <c r="H22" i="30"/>
  <c r="H19"/>
  <c r="H21" s="1"/>
  <c r="H19" i="2" l="1"/>
  <c r="H21" s="1"/>
  <c r="H22" s="1"/>
  <c r="H22" i="29"/>
  <c r="H19"/>
  <c r="F19" i="4"/>
  <c r="G19" i="8"/>
  <c r="G19" i="45"/>
  <c r="G19" i="21"/>
  <c r="G19" i="28"/>
  <c r="G19" i="9"/>
  <c r="G19" i="41"/>
  <c r="G19" i="3"/>
  <c r="G19" i="46"/>
  <c r="G19" i="24"/>
  <c r="G19" i="44"/>
  <c r="G19" i="30"/>
  <c r="G19" i="16"/>
  <c r="G19" i="19"/>
  <c r="G19" i="25"/>
  <c r="G19" i="15"/>
  <c r="G19" i="27"/>
  <c r="G19" i="14"/>
  <c r="G19" i="23"/>
  <c r="G19" i="22"/>
  <c r="G19" i="40"/>
  <c r="G19" i="35"/>
  <c r="G19" i="17"/>
  <c r="G19" i="6"/>
  <c r="G19" i="4"/>
  <c r="G19" i="29"/>
  <c r="G19" i="33"/>
  <c r="H19" i="12"/>
  <c r="G19"/>
  <c r="G19" i="7"/>
  <c r="G19" i="11"/>
  <c r="G19" i="37"/>
  <c r="G19" i="20"/>
  <c r="G19" i="5"/>
  <c r="F15" i="23" l="1"/>
  <c r="F19"/>
  <c r="F15" i="14"/>
  <c r="F19" s="1"/>
  <c r="E19" i="10"/>
  <c r="F19"/>
  <c r="F19" i="17" l="1"/>
  <c r="E19" l="1"/>
  <c r="F15" i="6"/>
  <c r="F19" s="1"/>
  <c r="F19" i="9" l="1"/>
  <c r="F19" i="41" l="1"/>
  <c r="E19" l="1"/>
  <c r="F19" i="21"/>
  <c r="E19"/>
  <c r="F19" i="3"/>
  <c r="F19" i="19"/>
  <c r="F19" i="30"/>
  <c r="F19" i="28"/>
  <c r="F19" i="25"/>
  <c r="F19" i="45"/>
  <c r="F19" i="40"/>
  <c r="F19" i="16"/>
  <c r="F19" i="22"/>
  <c r="F19" i="24"/>
  <c r="F19" i="44"/>
  <c r="F19" i="33"/>
  <c r="F19" i="20"/>
  <c r="F19" i="37"/>
  <c r="F19" i="5"/>
  <c r="F12" i="27"/>
  <c r="F19" s="1"/>
  <c r="F19" i="12"/>
  <c r="F19" i="46"/>
  <c r="F20" s="1"/>
  <c r="F15" i="2"/>
  <c r="F19" i="7"/>
  <c r="F19" i="35"/>
  <c r="F15" i="11"/>
  <c r="F19" s="1"/>
  <c r="F19" i="15"/>
  <c r="F19" i="8" l="1"/>
  <c r="E15" i="20" l="1"/>
  <c r="E19" s="1"/>
  <c r="E19" i="37"/>
  <c r="E12" i="5"/>
  <c r="E19" s="1"/>
  <c r="E19" i="7"/>
  <c r="E19" i="40"/>
  <c r="E20" i="14"/>
  <c r="E15"/>
  <c r="E19" s="1"/>
  <c r="E19" i="15"/>
  <c r="E15" i="11"/>
  <c r="E19" s="1"/>
  <c r="E20" i="16"/>
  <c r="E19"/>
  <c r="E19" i="9"/>
  <c r="E19" i="30"/>
  <c r="E12" i="22"/>
  <c r="E19" s="1"/>
  <c r="E19" i="19"/>
  <c r="E7" i="25"/>
  <c r="E19" s="1"/>
  <c r="E19" i="8"/>
  <c r="E19" i="35"/>
  <c r="E19" i="12"/>
  <c r="E19" i="24"/>
  <c r="E12" i="46"/>
  <c r="E19" s="1"/>
  <c r="E15" i="3"/>
  <c r="E19" s="1"/>
  <c r="E20" i="6"/>
  <c r="E15"/>
  <c r="E19" s="1"/>
  <c r="E19" i="23"/>
  <c r="E21" s="1"/>
  <c r="E15"/>
  <c r="E19" i="4"/>
  <c r="E19" i="33"/>
  <c r="E19" i="45"/>
  <c r="E19" i="44" l="1"/>
  <c r="E19" i="27"/>
  <c r="E19" i="29"/>
  <c r="F19"/>
  <c r="D19" i="45"/>
  <c r="C19"/>
  <c r="B22" l="1"/>
  <c r="C22" i="40"/>
  <c r="B22"/>
  <c r="C22" i="31"/>
  <c r="B22"/>
  <c r="B22" i="41"/>
  <c r="D19" i="15"/>
  <c r="B22" i="33"/>
  <c r="B22" i="21"/>
  <c r="B22" i="30"/>
  <c r="D19" i="21"/>
  <c r="D21" s="1"/>
  <c r="C19"/>
  <c r="D13" i="6"/>
  <c r="D19" s="1"/>
  <c r="D21" s="1"/>
  <c r="D19" i="12"/>
  <c r="D21" s="1"/>
  <c r="D19" i="24"/>
  <c r="D15" i="3"/>
  <c r="D19"/>
  <c r="D19" i="41"/>
  <c r="D21" s="1"/>
  <c r="C19"/>
  <c r="C21" s="1"/>
  <c r="D19" i="19"/>
  <c r="D19" i="33"/>
  <c r="D21" s="1"/>
  <c r="C19"/>
  <c r="C21" s="1"/>
  <c r="D19" i="31"/>
  <c r="D21" s="1"/>
  <c r="D22" s="1"/>
  <c r="D19" i="46"/>
  <c r="D19" i="25"/>
  <c r="D21" s="1"/>
  <c r="D19" i="40"/>
  <c r="D21" s="1"/>
  <c r="D19" i="10"/>
  <c r="D19" i="23"/>
  <c r="D21" s="1"/>
  <c r="D19" i="2"/>
  <c r="D21" s="1"/>
  <c r="E19"/>
  <c r="E21" s="1"/>
  <c r="F19"/>
  <c r="F21" s="1"/>
  <c r="G19"/>
  <c r="G21" s="1"/>
  <c r="I19"/>
  <c r="I21" s="1"/>
  <c r="J19"/>
  <c r="J21" s="1"/>
  <c r="K19"/>
  <c r="L19"/>
  <c r="M19"/>
  <c r="M21" s="1"/>
  <c r="D19" i="30"/>
  <c r="C19"/>
  <c r="C21" s="1"/>
  <c r="D19" i="29"/>
  <c r="D21" s="1"/>
  <c r="D19" i="44"/>
  <c r="D21" s="1"/>
  <c r="D15" i="11"/>
  <c r="D19" s="1"/>
  <c r="D21" s="1"/>
  <c r="D19" i="37"/>
  <c r="D19" i="14"/>
  <c r="D21" s="1"/>
  <c r="D19" i="16"/>
  <c r="C19"/>
  <c r="C21" s="1"/>
  <c r="D19" i="8"/>
  <c r="D21" s="1"/>
  <c r="D19" i="35"/>
  <c r="D21" s="1"/>
  <c r="D19" i="27"/>
  <c r="D21" s="1"/>
  <c r="D19" i="22"/>
  <c r="D21" s="1"/>
  <c r="D19" i="20"/>
  <c r="D21" s="1"/>
  <c r="D15" i="4"/>
  <c r="D19" s="1"/>
  <c r="D21" s="1"/>
  <c r="D19" i="7"/>
  <c r="D21" s="1"/>
  <c r="D19" i="5"/>
  <c r="D21" s="1"/>
  <c r="D19" i="9"/>
  <c r="D21" s="1"/>
  <c r="C19" i="14"/>
  <c r="C21" s="1"/>
  <c r="C19" i="10"/>
  <c r="C21" s="1"/>
  <c r="C21" i="24"/>
  <c r="C19" i="15"/>
  <c r="C21" s="1"/>
  <c r="C19" i="37"/>
  <c r="C21" s="1"/>
  <c r="C19" i="5"/>
  <c r="C21" s="1"/>
  <c r="C19" i="19"/>
  <c r="C21"/>
  <c r="C19" i="25"/>
  <c r="C21" s="1"/>
  <c r="C19" i="3"/>
  <c r="C19" i="46"/>
  <c r="C21" s="1"/>
  <c r="C19" i="17"/>
  <c r="C21" s="1"/>
  <c r="C19" i="8"/>
  <c r="C21" s="1"/>
  <c r="C19" i="6"/>
  <c r="C21"/>
  <c r="C19" i="23"/>
  <c r="C21" s="1"/>
  <c r="C19" i="11"/>
  <c r="C21" s="1"/>
  <c r="C19" i="35"/>
  <c r="C21" s="1"/>
  <c r="C19" i="4"/>
  <c r="C19" i="20"/>
  <c r="C21" s="1"/>
  <c r="C19" i="29"/>
  <c r="C21" s="1"/>
  <c r="C19" i="9"/>
  <c r="C21"/>
  <c r="C19" i="44"/>
  <c r="C21" s="1"/>
  <c r="C19" i="7"/>
  <c r="C21" s="1"/>
  <c r="C19" i="27"/>
  <c r="C21" s="1"/>
  <c r="B15" i="23"/>
  <c r="B15" i="25"/>
  <c r="B19" s="1"/>
  <c r="B21" s="1"/>
  <c r="B15" i="20"/>
  <c r="B18"/>
  <c r="B15" i="11"/>
  <c r="B19"/>
  <c r="B21" s="1"/>
  <c r="B15" i="6"/>
  <c r="B19" s="1"/>
  <c r="B21" s="1"/>
  <c r="B15" i="4"/>
  <c r="B19"/>
  <c r="B21" s="1"/>
  <c r="M21" i="8"/>
  <c r="L21"/>
  <c r="K21"/>
  <c r="J21"/>
  <c r="I21"/>
  <c r="G21"/>
  <c r="F21"/>
  <c r="E21"/>
  <c r="B19"/>
  <c r="B21" s="1"/>
  <c r="M21" i="37"/>
  <c r="L21"/>
  <c r="K21"/>
  <c r="J21"/>
  <c r="I21"/>
  <c r="G21"/>
  <c r="F21"/>
  <c r="E21"/>
  <c r="D21"/>
  <c r="B19"/>
  <c r="B21"/>
  <c r="M21" i="44"/>
  <c r="L21"/>
  <c r="K21"/>
  <c r="J21"/>
  <c r="I21"/>
  <c r="G21"/>
  <c r="F21"/>
  <c r="E21"/>
  <c r="B19"/>
  <c r="B21"/>
  <c r="M21" i="46"/>
  <c r="L21"/>
  <c r="K21"/>
  <c r="J21"/>
  <c r="I21"/>
  <c r="G21"/>
  <c r="F21"/>
  <c r="E21"/>
  <c r="D21"/>
  <c r="B19"/>
  <c r="B21"/>
  <c r="M21" i="24"/>
  <c r="L21"/>
  <c r="K21"/>
  <c r="J21"/>
  <c r="I21"/>
  <c r="G21"/>
  <c r="F21"/>
  <c r="E21"/>
  <c r="D21"/>
  <c r="B19"/>
  <c r="B21"/>
  <c r="M21" i="38"/>
  <c r="L21"/>
  <c r="K21"/>
  <c r="J21"/>
  <c r="I21"/>
  <c r="M21" i="45"/>
  <c r="L21"/>
  <c r="K21"/>
  <c r="J21"/>
  <c r="I21"/>
  <c r="G21"/>
  <c r="F21"/>
  <c r="E21"/>
  <c r="D21"/>
  <c r="C21"/>
  <c r="M21" i="40"/>
  <c r="L21"/>
  <c r="K21"/>
  <c r="J21"/>
  <c r="I21"/>
  <c r="G21"/>
  <c r="F21"/>
  <c r="E21"/>
  <c r="M21" i="31"/>
  <c r="L21"/>
  <c r="K21"/>
  <c r="J21"/>
  <c r="I21"/>
  <c r="M21" i="47"/>
  <c r="L21"/>
  <c r="K21"/>
  <c r="J21"/>
  <c r="I21"/>
  <c r="M21" i="35"/>
  <c r="L21"/>
  <c r="K21"/>
  <c r="J21"/>
  <c r="I21"/>
  <c r="G21"/>
  <c r="H22" s="1"/>
  <c r="F21"/>
  <c r="E21"/>
  <c r="B19"/>
  <c r="B21" s="1"/>
  <c r="M21" i="27"/>
  <c r="L21"/>
  <c r="K21"/>
  <c r="J21"/>
  <c r="I21"/>
  <c r="G21"/>
  <c r="F21"/>
  <c r="E21"/>
  <c r="B19"/>
  <c r="B21" s="1"/>
  <c r="M21" i="41"/>
  <c r="L21"/>
  <c r="K21"/>
  <c r="J21"/>
  <c r="I21"/>
  <c r="H21"/>
  <c r="G21"/>
  <c r="F21"/>
  <c r="E21"/>
  <c r="M21" i="28"/>
  <c r="L21"/>
  <c r="K21"/>
  <c r="J21"/>
  <c r="I21"/>
  <c r="G21"/>
  <c r="F21"/>
  <c r="D22"/>
  <c r="M21" i="22"/>
  <c r="L21"/>
  <c r="K21"/>
  <c r="J21"/>
  <c r="I21"/>
  <c r="G21"/>
  <c r="F21"/>
  <c r="E21"/>
  <c r="B19"/>
  <c r="B21" s="1"/>
  <c r="M21" i="19"/>
  <c r="L21"/>
  <c r="K21"/>
  <c r="J21"/>
  <c r="I21"/>
  <c r="G21"/>
  <c r="F21"/>
  <c r="E21"/>
  <c r="D21"/>
  <c r="B19"/>
  <c r="B21" s="1"/>
  <c r="M21" i="18"/>
  <c r="L21"/>
  <c r="K21"/>
  <c r="J21"/>
  <c r="I21"/>
  <c r="H21"/>
  <c r="G21"/>
  <c r="F21"/>
  <c r="E21"/>
  <c r="D21"/>
  <c r="C21"/>
  <c r="B20"/>
  <c r="B19"/>
  <c r="B21" s="1"/>
  <c r="M21" i="23"/>
  <c r="L21"/>
  <c r="K21"/>
  <c r="I21"/>
  <c r="G21"/>
  <c r="F21"/>
  <c r="B19"/>
  <c r="B21" s="1"/>
  <c r="M21" i="25"/>
  <c r="L21"/>
  <c r="K21"/>
  <c r="J21"/>
  <c r="I21"/>
  <c r="G21"/>
  <c r="F21"/>
  <c r="E21"/>
  <c r="M21" i="20"/>
  <c r="L21"/>
  <c r="K21"/>
  <c r="J21"/>
  <c r="I21"/>
  <c r="G21"/>
  <c r="F21"/>
  <c r="E21"/>
  <c r="M21" i="15"/>
  <c r="L21"/>
  <c r="K21"/>
  <c r="J21"/>
  <c r="I21"/>
  <c r="G21"/>
  <c r="F21"/>
  <c r="E21"/>
  <c r="D21"/>
  <c r="B19"/>
  <c r="B21"/>
  <c r="M21" i="33"/>
  <c r="L21"/>
  <c r="K21"/>
  <c r="J21"/>
  <c r="I21"/>
  <c r="H21"/>
  <c r="H22" s="1"/>
  <c r="G21"/>
  <c r="F21"/>
  <c r="E21"/>
  <c r="M21" i="21"/>
  <c r="L21"/>
  <c r="K21"/>
  <c r="J21"/>
  <c r="I21"/>
  <c r="G21"/>
  <c r="E21"/>
  <c r="C21"/>
  <c r="M21" i="13"/>
  <c r="L21"/>
  <c r="K21"/>
  <c r="J21"/>
  <c r="I21"/>
  <c r="M21" i="3"/>
  <c r="L21"/>
  <c r="K21"/>
  <c r="J21"/>
  <c r="I21"/>
  <c r="H21"/>
  <c r="G21"/>
  <c r="F21"/>
  <c r="E21"/>
  <c r="D21"/>
  <c r="C21"/>
  <c r="C22" s="1"/>
  <c r="B19"/>
  <c r="B21"/>
  <c r="M21" i="16"/>
  <c r="L21"/>
  <c r="K21"/>
  <c r="J21"/>
  <c r="I21"/>
  <c r="G21"/>
  <c r="F21"/>
  <c r="E21"/>
  <c r="D21"/>
  <c r="E22" s="1"/>
  <c r="B19"/>
  <c r="B21" s="1"/>
  <c r="M21" i="17"/>
  <c r="L21"/>
  <c r="K21"/>
  <c r="J21"/>
  <c r="I21"/>
  <c r="G21"/>
  <c r="F21"/>
  <c r="E21"/>
  <c r="B19"/>
  <c r="B21" s="1"/>
  <c r="M21" i="11"/>
  <c r="L21"/>
  <c r="K21"/>
  <c r="J21"/>
  <c r="I21"/>
  <c r="G21"/>
  <c r="F21"/>
  <c r="E21"/>
  <c r="M21" i="14"/>
  <c r="L21"/>
  <c r="K21"/>
  <c r="J21"/>
  <c r="I21"/>
  <c r="G21"/>
  <c r="F21"/>
  <c r="E21"/>
  <c r="B19"/>
  <c r="B21" s="1"/>
  <c r="M21" i="10"/>
  <c r="L21"/>
  <c r="K21"/>
  <c r="J21"/>
  <c r="I21"/>
  <c r="D21"/>
  <c r="B19"/>
  <c r="B21" s="1"/>
  <c r="M21" i="9"/>
  <c r="L21"/>
  <c r="K21"/>
  <c r="J21"/>
  <c r="I21"/>
  <c r="G21"/>
  <c r="F21"/>
  <c r="E21"/>
  <c r="B19"/>
  <c r="B21" s="1"/>
  <c r="M21" i="26"/>
  <c r="L21"/>
  <c r="K21"/>
  <c r="J21"/>
  <c r="I21"/>
  <c r="H21"/>
  <c r="G21"/>
  <c r="G22" s="1"/>
  <c r="M21" i="12"/>
  <c r="L21"/>
  <c r="K21"/>
  <c r="J21"/>
  <c r="I21"/>
  <c r="H21"/>
  <c r="G21"/>
  <c r="F21"/>
  <c r="E21"/>
  <c r="B19"/>
  <c r="B21" s="1"/>
  <c r="M21" i="7"/>
  <c r="L21"/>
  <c r="K21"/>
  <c r="J21"/>
  <c r="I21"/>
  <c r="G21"/>
  <c r="F21"/>
  <c r="E21"/>
  <c r="B19"/>
  <c r="B21" s="1"/>
  <c r="M21" i="6"/>
  <c r="L21"/>
  <c r="K21"/>
  <c r="J21"/>
  <c r="I21"/>
  <c r="H21"/>
  <c r="G21"/>
  <c r="F21"/>
  <c r="E21"/>
  <c r="M21" i="5"/>
  <c r="L21"/>
  <c r="K21"/>
  <c r="J21"/>
  <c r="I21"/>
  <c r="G21"/>
  <c r="F21"/>
  <c r="E21"/>
  <c r="B19"/>
  <c r="B21" s="1"/>
  <c r="M21" i="4"/>
  <c r="L21"/>
  <c r="K21"/>
  <c r="J21"/>
  <c r="I21"/>
  <c r="G21"/>
  <c r="F21"/>
  <c r="E21"/>
  <c r="C21"/>
  <c r="M21" i="30"/>
  <c r="L21"/>
  <c r="K21"/>
  <c r="J21"/>
  <c r="I21"/>
  <c r="G21"/>
  <c r="F21"/>
  <c r="E21"/>
  <c r="E22" s="1"/>
  <c r="D21"/>
  <c r="L21" i="2"/>
  <c r="K21"/>
  <c r="B19"/>
  <c r="B21" s="1"/>
  <c r="M21" i="29"/>
  <c r="L21"/>
  <c r="K21"/>
  <c r="J21"/>
  <c r="I21"/>
  <c r="H21"/>
  <c r="G21"/>
  <c r="F21"/>
  <c r="E21"/>
  <c r="B19"/>
  <c r="B21" s="1"/>
  <c r="M12" i="49"/>
  <c r="M14" s="1"/>
  <c r="M15" s="1"/>
  <c r="L12"/>
  <c r="L14" s="1"/>
  <c r="L15" s="1"/>
  <c r="K12"/>
  <c r="K14" s="1"/>
  <c r="J12"/>
  <c r="J14" s="1"/>
  <c r="J15" s="1"/>
  <c r="I12"/>
  <c r="I14" s="1"/>
  <c r="I15" s="1"/>
  <c r="H12"/>
  <c r="H14" s="1"/>
  <c r="G12"/>
  <c r="G14" s="1"/>
  <c r="G15" s="1"/>
  <c r="F12"/>
  <c r="F14" s="1"/>
  <c r="F15" s="1"/>
  <c r="D12"/>
  <c r="D14" s="1"/>
  <c r="D15" s="1"/>
  <c r="C12"/>
  <c r="C14" s="1"/>
  <c r="C15" s="1"/>
  <c r="B12"/>
  <c r="B14" s="1"/>
  <c r="E12"/>
  <c r="E14" s="1"/>
  <c r="E15" s="1"/>
  <c r="I12" i="42"/>
  <c r="I14" s="1"/>
  <c r="I15" s="1"/>
  <c r="J12"/>
  <c r="J14" s="1"/>
  <c r="J15" s="1"/>
  <c r="K12"/>
  <c r="K14"/>
  <c r="K15" s="1"/>
  <c r="L12"/>
  <c r="L14" s="1"/>
  <c r="L15" s="1"/>
  <c r="M12"/>
  <c r="M14" s="1"/>
  <c r="M15" s="1"/>
  <c r="H12"/>
  <c r="H14" s="1"/>
  <c r="G12"/>
  <c r="G14" s="1"/>
  <c r="G15" s="1"/>
  <c r="F12"/>
  <c r="F14" s="1"/>
  <c r="F15" s="1"/>
  <c r="E12"/>
  <c r="E14"/>
  <c r="E15" s="1"/>
  <c r="D12"/>
  <c r="D14" s="1"/>
  <c r="D15" s="1"/>
  <c r="C12"/>
  <c r="C14" s="1"/>
  <c r="C15" s="1"/>
  <c r="B12"/>
  <c r="B14" s="1"/>
  <c r="B15" s="1"/>
  <c r="G12" i="32"/>
  <c r="G14" s="1"/>
  <c r="G15" s="1"/>
  <c r="B12" i="34"/>
  <c r="B14" s="1"/>
  <c r="B16" s="1"/>
  <c r="C12"/>
  <c r="C14" s="1"/>
  <c r="C15"/>
  <c r="E12"/>
  <c r="E14" s="1"/>
  <c r="E15" s="1"/>
  <c r="F12"/>
  <c r="F14"/>
  <c r="G12"/>
  <c r="G14" s="1"/>
  <c r="G15" s="1"/>
  <c r="H12"/>
  <c r="H14" s="1"/>
  <c r="I12"/>
  <c r="I14" s="1"/>
  <c r="I15" s="1"/>
  <c r="J12"/>
  <c r="J14" s="1"/>
  <c r="J15" s="1"/>
  <c r="K12"/>
  <c r="K14" s="1"/>
  <c r="K15" s="1"/>
  <c r="L12"/>
  <c r="L14" s="1"/>
  <c r="L15" s="1"/>
  <c r="M12"/>
  <c r="M14"/>
  <c r="M15" s="1"/>
  <c r="E12" i="32"/>
  <c r="E14" s="1"/>
  <c r="E15" s="1"/>
  <c r="B12"/>
  <c r="B14" s="1"/>
  <c r="C12"/>
  <c r="C14" s="1"/>
  <c r="C15" s="1"/>
  <c r="D12"/>
  <c r="F12"/>
  <c r="F14"/>
  <c r="F15" s="1"/>
  <c r="H12"/>
  <c r="H14" s="1"/>
  <c r="H15" s="1"/>
  <c r="I12"/>
  <c r="I14" s="1"/>
  <c r="I15" s="1"/>
  <c r="J12"/>
  <c r="J14" s="1"/>
  <c r="J15" s="1"/>
  <c r="K12"/>
  <c r="K14" s="1"/>
  <c r="K15"/>
  <c r="L12"/>
  <c r="L14"/>
  <c r="L15" s="1"/>
  <c r="M12"/>
  <c r="M14"/>
  <c r="M15" s="1"/>
  <c r="D15"/>
  <c r="D12" i="34"/>
  <c r="D14" s="1"/>
  <c r="D22" i="7" l="1"/>
  <c r="G22"/>
  <c r="F22"/>
  <c r="E22"/>
  <c r="D22" i="23"/>
  <c r="G22"/>
  <c r="E22"/>
  <c r="B22"/>
  <c r="D22" i="40"/>
  <c r="G22"/>
  <c r="F22"/>
  <c r="E22"/>
  <c r="G22" i="33"/>
  <c r="F22"/>
  <c r="D22"/>
  <c r="C22"/>
  <c r="C22" i="5"/>
  <c r="G22"/>
  <c r="F22"/>
  <c r="E22"/>
  <c r="G22" i="2"/>
  <c r="F22"/>
  <c r="E22" i="12"/>
  <c r="G22" i="9"/>
  <c r="F22"/>
  <c r="E22"/>
  <c r="E22" i="33"/>
  <c r="C22" i="22"/>
  <c r="G22"/>
  <c r="F22"/>
  <c r="E22"/>
  <c r="E22" i="41"/>
  <c r="B22" i="24"/>
  <c r="F22"/>
  <c r="C22" i="46"/>
  <c r="G22"/>
  <c r="F22"/>
  <c r="G22" i="44"/>
  <c r="F22"/>
  <c r="D22"/>
  <c r="G22" i="37"/>
  <c r="F22"/>
  <c r="E22"/>
  <c r="B22" i="8"/>
  <c r="G22"/>
  <c r="F22"/>
  <c r="E22"/>
  <c r="D22" i="6"/>
  <c r="G22"/>
  <c r="F22"/>
  <c r="F22" i="11"/>
  <c r="D22" i="37"/>
  <c r="G22" i="17"/>
  <c r="D22" i="21"/>
  <c r="E22"/>
  <c r="G22"/>
  <c r="F22"/>
  <c r="B22" i="15"/>
  <c r="G22"/>
  <c r="F22"/>
  <c r="F22" i="23"/>
  <c r="B22" i="19"/>
  <c r="G22"/>
  <c r="F22"/>
  <c r="D22" i="27"/>
  <c r="G22"/>
  <c r="F22"/>
  <c r="E22"/>
  <c r="G22" i="24"/>
  <c r="C22" i="11"/>
  <c r="D22"/>
  <c r="G22"/>
  <c r="E22"/>
  <c r="G22" i="25"/>
  <c r="F22"/>
  <c r="E22"/>
  <c r="C22" i="19"/>
  <c r="E22"/>
  <c r="G22" i="29"/>
  <c r="F22"/>
  <c r="E22"/>
  <c r="E22" i="6"/>
  <c r="B22" i="12"/>
  <c r="G22"/>
  <c r="F22"/>
  <c r="G22" i="14"/>
  <c r="F22"/>
  <c r="E22"/>
  <c r="B22" i="3"/>
  <c r="G22"/>
  <c r="E22"/>
  <c r="D22" i="46"/>
  <c r="F22" i="4"/>
  <c r="E22"/>
  <c r="E22" i="24"/>
  <c r="G22" i="30"/>
  <c r="B22" i="27"/>
  <c r="G22" i="16"/>
  <c r="F22"/>
  <c r="F22" i="3"/>
  <c r="G22" i="28"/>
  <c r="F22"/>
  <c r="B22" i="35"/>
  <c r="G22"/>
  <c r="F22"/>
  <c r="E22"/>
  <c r="F22" i="45"/>
  <c r="E22" i="46"/>
  <c r="E22" i="44"/>
  <c r="B19" i="20"/>
  <c r="B21" s="1"/>
  <c r="C22" i="35"/>
  <c r="G22" i="41"/>
  <c r="F22"/>
  <c r="F22" i="30"/>
  <c r="F22" i="17"/>
  <c r="E22"/>
  <c r="D22" i="30"/>
  <c r="E22" i="2"/>
  <c r="C22" i="45"/>
  <c r="E22"/>
  <c r="C22" i="15"/>
  <c r="E22"/>
  <c r="D22" i="22"/>
  <c r="C22" i="8"/>
  <c r="E16" i="49"/>
  <c r="B16"/>
  <c r="I16"/>
  <c r="C22" i="9"/>
  <c r="B22"/>
  <c r="D22"/>
  <c r="B22" i="11"/>
  <c r="D22" i="25"/>
  <c r="C22"/>
  <c r="B22"/>
  <c r="C22" i="2"/>
  <c r="D22"/>
  <c r="B22"/>
  <c r="C22" i="17"/>
  <c r="B22"/>
  <c r="D22"/>
  <c r="B22" i="4"/>
  <c r="D22"/>
  <c r="C22"/>
  <c r="D22" i="14"/>
  <c r="C22"/>
  <c r="B22"/>
  <c r="C22" i="37"/>
  <c r="D22" i="20"/>
  <c r="D22" i="41"/>
  <c r="C22"/>
  <c r="D15" i="34"/>
  <c r="K16"/>
  <c r="D22" i="10"/>
  <c r="C22"/>
  <c r="B22"/>
  <c r="D22" i="16"/>
  <c r="C22"/>
  <c r="B22"/>
  <c r="D22" i="5"/>
  <c r="B22" i="7"/>
  <c r="C22" i="12"/>
  <c r="D22" i="15"/>
  <c r="C22" i="30"/>
  <c r="B22" i="6"/>
  <c r="C22" i="7"/>
  <c r="D22" i="12"/>
  <c r="D22" i="3"/>
  <c r="C22" i="23"/>
  <c r="D22" i="19"/>
  <c r="C22" i="27"/>
  <c r="D22" i="35"/>
  <c r="D22" i="8"/>
  <c r="B22" i="44"/>
  <c r="D22" i="24"/>
  <c r="B22" i="5"/>
  <c r="C22" i="6"/>
  <c r="B22" i="37"/>
  <c r="C22" i="21"/>
  <c r="B22" i="22"/>
  <c r="B22" i="46"/>
  <c r="C22" i="44"/>
  <c r="J16" i="34"/>
  <c r="D22" i="45"/>
  <c r="B22" i="29"/>
  <c r="C22"/>
  <c r="D22"/>
  <c r="C22" i="24"/>
  <c r="B22" i="28"/>
  <c r="C22"/>
  <c r="K15" i="49"/>
  <c r="L16"/>
  <c r="L16" i="34"/>
  <c r="F16" i="32"/>
  <c r="E16"/>
  <c r="J16"/>
  <c r="C16"/>
  <c r="I16"/>
  <c r="B15"/>
  <c r="B16"/>
  <c r="K16"/>
  <c r="G16"/>
  <c r="L16"/>
  <c r="H16"/>
  <c r="D16"/>
  <c r="M16" i="42"/>
  <c r="H15"/>
  <c r="L16"/>
  <c r="M16" i="34"/>
  <c r="M16" i="49"/>
  <c r="H15"/>
  <c r="E16" i="42"/>
  <c r="I16"/>
  <c r="F16" i="34"/>
  <c r="H16"/>
  <c r="F15"/>
  <c r="C16" i="49"/>
  <c r="G16" i="42"/>
  <c r="F16"/>
  <c r="M16" i="32"/>
  <c r="H16" i="42"/>
  <c r="G16" i="34"/>
  <c r="H16" i="49"/>
  <c r="F16"/>
  <c r="H15" i="34"/>
  <c r="C16"/>
  <c r="I16"/>
  <c r="E16"/>
  <c r="B16" i="42"/>
  <c r="C16"/>
  <c r="K16"/>
  <c r="J16" i="49"/>
  <c r="G16"/>
  <c r="D16"/>
  <c r="J16" i="42"/>
  <c r="D16"/>
  <c r="D16" i="34"/>
  <c r="B15"/>
  <c r="K16" i="49"/>
  <c r="B15"/>
  <c r="G22" i="20" l="1"/>
  <c r="F22"/>
  <c r="E22"/>
  <c r="B22"/>
  <c r="C22"/>
</calcChain>
</file>

<file path=xl/sharedStrings.xml><?xml version="1.0" encoding="utf-8"?>
<sst xmlns="http://schemas.openxmlformats.org/spreadsheetml/2006/main" count="1520" uniqueCount="90">
  <si>
    <t>DESCRIÇÃO</t>
  </si>
  <si>
    <t>JAN</t>
  </si>
  <si>
    <t>FEV</t>
  </si>
  <si>
    <t>MAR</t>
  </si>
  <si>
    <t>ABR</t>
  </si>
  <si>
    <t>MAI</t>
  </si>
  <si>
    <t>JUN</t>
  </si>
  <si>
    <t>JUL</t>
  </si>
  <si>
    <t>AGS</t>
  </si>
  <si>
    <t>SET</t>
  </si>
  <si>
    <t>OUT</t>
  </si>
  <si>
    <t>NOV</t>
  </si>
  <si>
    <t>DEZ</t>
  </si>
  <si>
    <t>Locomoção do Parlamentar e assessores vinculados ao gabinete do Parlamentar,compreendendo passsagens, hospedagens, transporte e locação de veículos automotores, etc.</t>
  </si>
  <si>
    <t>Peças, acessórios e serviços gerais de veículos a serviço do gabinete do parlamentar, exceto troca de oleos e abastecimento</t>
  </si>
  <si>
    <t>Locação de imóveis, utilizados como escritório de apoio ao exercício da atividade parlamentar, compreendendo: aluguel dos imóveis e as despesas concernentes a eles, tais como: impostos e taxas públicas;telefonia móvel e fixa;fornecimento de água (compesa) e energia (Celpe);taxas condominiais ordinárias</t>
  </si>
  <si>
    <t>Contratação de empresas que prestem assessoria e/ou consultoria com  finalidade: apoio a atividade parlamentar, pesquisas,trabalhos técnicos, produção de videos ou documentários.</t>
  </si>
  <si>
    <t>Serviços postais (excetuando-se aqueles criados na Res.2441/07 e alterações posteriores), assinaturas de jornais, revistas e publicações</t>
  </si>
  <si>
    <t>MÉDIA MENSAL DE GASTOS</t>
  </si>
  <si>
    <t>MÉDIA MENSAL ACUMULADO  DE GASTOS</t>
  </si>
  <si>
    <t>TOTAL VERBA INDENIZATÓRIA</t>
  </si>
  <si>
    <t>Cópia heliográfica, encadernação e plastificação de documentos; edição de jornais, livros, revistas. Impressos gráficos para consumo do Gabinete do Parlamentar</t>
  </si>
  <si>
    <t>Aquisições de meterial de expediente, limpesa e suprimentos de informática, etc.</t>
  </si>
  <si>
    <t xml:space="preserve">Acesso a internet, locação de móveis e equipamentos, aquisição ou locação de software, assinaturas de TV a cabo ou similar, </t>
  </si>
  <si>
    <t>RECURSOS PRÓPRIOS E/OU GLOSA</t>
  </si>
  <si>
    <t>VERBA INDENIZATÓRIA PAGA NO MÊS</t>
  </si>
  <si>
    <t>AGO</t>
  </si>
  <si>
    <t xml:space="preserve"> </t>
  </si>
  <si>
    <t>Locação de imóveis, eles, tais como: impostos e taxas públicas;telefonia móvel e fixa;fornecimento de água (compesa) e energia (Celpe);taxas condominiais ordinárias</t>
  </si>
  <si>
    <t xml:space="preserve">Locação de imóveis. </t>
  </si>
  <si>
    <t xml:space="preserve">            </t>
  </si>
  <si>
    <t>PORTAL DA TRANSPARÊNCIA DA CÂMARA MUNICIPAL DO RECIFE</t>
  </si>
  <si>
    <t>VEREADOR XXXXXXXX - DEMONSTRATIVO DA VERBA INDENIZATORIA 2017</t>
  </si>
  <si>
    <t>Aluguel de Escritório</t>
  </si>
  <si>
    <t>Despesas relacionadas ao Escritório (condomínio)</t>
  </si>
  <si>
    <t>Despesas relacionadas ao Escritório (CELPE)</t>
  </si>
  <si>
    <t>Despesas relacionadas ao Escritório (COMPESA)</t>
  </si>
  <si>
    <t>Despesas relacionadas ao Escritório (IPTU/TPEI)</t>
  </si>
  <si>
    <t>Despesas relacionadas ao Escritório (internet e telefone)</t>
  </si>
  <si>
    <t>Locomoção - Passagens, Hospedagens e Transporte</t>
  </si>
  <si>
    <t>Locomoção - Locação de Automóvel</t>
  </si>
  <si>
    <t>Peças e acessórios de veículos</t>
  </si>
  <si>
    <t xml:space="preserve">Serviços de Consultoria, Assessoria, Pesquisas e Trabalhos técnicos </t>
  </si>
  <si>
    <t>Material de expediente</t>
  </si>
  <si>
    <t>Locação de móveis e equipamentos, aquisição ou locação de software</t>
  </si>
  <si>
    <t>Assinaturas de jornais, revistas e publicações</t>
  </si>
  <si>
    <t>Serviços gráficos e cópias</t>
  </si>
  <si>
    <t>TOTAL APRESENTADO</t>
  </si>
  <si>
    <t>VEREADOR Alcides Teixeira Neto - DEMONSTRATIVO DA VERBA INDENIZATORIA 2017</t>
  </si>
  <si>
    <t>VEREADOR Jairo Britto - DEMONSTRATIVO DA VERBA INDENIZATORIA 2017</t>
  </si>
  <si>
    <t>VEREADOR Aerto Luna - DEMONSTRATIVO DA VERBA INDENIZATORIA 2017</t>
  </si>
  <si>
    <t>VEREADOR Antônio Luiz Neto - DEMONSTRATIVO DA VERBA INDENIZATORIA 2017</t>
  </si>
  <si>
    <t>VEREADOR Amaro Cipriano - DEMONSTRATIVO DA VERBA INDENIZATORIA 2017</t>
  </si>
  <si>
    <t>VEREADOR Aderaldo de Oliveira  - DEMONSTRATIVO DA VERBA INDENIZATORIA 2017</t>
  </si>
  <si>
    <t>VEREADOR Aimée Silva - DEMONSTRATIVO DA VERBA INDENIZATORIA 2017</t>
  </si>
  <si>
    <t>NPC</t>
  </si>
  <si>
    <t>VEREADOR Almir Fernando - DEMONSTRATIVO DA VERBA INDENIZATORIA 2017</t>
  </si>
  <si>
    <t>VEREADOR Ana Lúcia - DEMONSTRATIVO DA VERBA INDENIZATORIA 2017</t>
  </si>
  <si>
    <t>VEREADOR André Régis - DEMONSTRATIVO DA VERBA INDENIZATORIA 2017</t>
  </si>
  <si>
    <t>VEREADOR Augusto Carreras - DEMONSTRATIVO DA VERBA INDENIZATORIA 2017</t>
  </si>
  <si>
    <t>VEREADOR Aline Mariano - DEMONSTRATIVO DA VERBA INDENIZATORIA 2017</t>
  </si>
  <si>
    <t>VEREADOR  Benjamin da Saúde - DEMONSTRATIVO DA VERBA INDENIZATORIA 2017</t>
  </si>
  <si>
    <t>VEREADOR Carlos Gueiros - DEMONSTRATIVO DA VERBA INDENIZATORIA 2017</t>
  </si>
  <si>
    <t>VEREADOR Daize Michelle- DEMONSTRATIVO DA VERBA INDENIZATORIA 2017</t>
  </si>
  <si>
    <t>VEREADOR Davi Muniz- DEMONSTRATIVO DA VERBA INDENIZATORIA 2017</t>
  </si>
  <si>
    <t>VEREADOR Chico Kiko - DEMONSTRATIVO DA VERBA INDENIZATORIA 2017</t>
  </si>
  <si>
    <t>VEREADOR Eduardo Pereira - DEMONSTRATIVO DA VERBA INDENIZATORIA 2017</t>
  </si>
  <si>
    <t>VEREADOR Eduardo Marques - DEMONSTRATIVO DA VERBA INDENIZATORIA 2017</t>
  </si>
  <si>
    <t>VEREADOR Felipe Francismar- DEMONSTRATIVO DA VERBA INDENIZATORIA 2017</t>
  </si>
  <si>
    <t>VEREADOR Fred Ferreira - DEMONSTRATIVO DA VERBA INDENIZATORIA 2017</t>
  </si>
  <si>
    <t>VEREADOR Gilberto Alves - DEMONSTRATIVO DA VERBA INDENIZATORIA 2017</t>
  </si>
  <si>
    <t>VEREADOR Hélio Guabiraba - DEMONSTRATIVO DA VERBA INDENIZATORIA 2017</t>
  </si>
  <si>
    <t>VEREADOR Ivan Moraes - DEMONSTRATIVO DA VERBA INDENIZATORIA 2017</t>
  </si>
  <si>
    <t>VEREADOR Jayme Asfora - DEMONSTRATIVO DA VERBA INDENIZATORIA 2017</t>
  </si>
  <si>
    <t>VEREADOR Júnior Bocão - DEMONSTRATIVO DA VERBA INDENIZATORIA 2017</t>
  </si>
  <si>
    <t>VEREADOR Marcos di Bria - DEMONSTRATIVO DA VERBA INDENIZATORIA 2017</t>
  </si>
  <si>
    <t>VEREADOR Marília Arraes- DEMONSTRATIVO DA VERBA INDENIZATORIA 2017</t>
  </si>
  <si>
    <t>VEREADOR Natália de Menudo - DEMONSTRATIVO DA VERBA INDENIZATORIA 2017</t>
  </si>
  <si>
    <t>VEREADOR Marco Aurélio - DEMONSTRATIVO DA VERBA INDENIZATORIA 2017</t>
  </si>
  <si>
    <t>VEREADOR Rinaldo Júnior - DEMONSTRATIVO DA VERBA INDENIZATORIA 2017</t>
  </si>
  <si>
    <t>VEREADOR Renato Anttunes - DEMONSTRATIVO DA VERBA INDENIZATORIA 2017</t>
  </si>
  <si>
    <t>VEREADOR Ricardo Cruz- DEMONSTRATIVO DA VERBA INDENIZATORIA 2017</t>
  </si>
  <si>
    <t>VEREADOR Rodrigo Coutinho - DEMONSTRATIVO DA VERBA INDENIZATORIA 2017</t>
  </si>
  <si>
    <t>VEREADOR Rogério di Lucca - DEMONSTRATIVO DA VERBA INDENIZATORIA 2017</t>
  </si>
  <si>
    <t>VEREADOR Romerinho Jatobá - DEMONSTRATIVO DA VERBA INDENIZATORIA 2017</t>
  </si>
  <si>
    <t>VEREADOR Rafael Acioli - DEMONSTRATIVO DA VERBA INDENIZATORIA 2017</t>
  </si>
  <si>
    <t>VEREADOR Romero Albuquerque - DEMONSTRATIVO DA VERBA INDENIZATORIA 2017</t>
  </si>
  <si>
    <t>VEREADOR Wanderson Sobral - DEMONSTRATIVO DA VERBA INDENIZATORIA 2017</t>
  </si>
  <si>
    <t>NPC = NÃO PRESTOU CONTAS</t>
  </si>
  <si>
    <t xml:space="preserve">              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</si>
</sst>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12.5"/>
      <name val="Calibri"/>
      <family val="2"/>
      <scheme val="minor"/>
    </font>
    <font>
      <b/>
      <sz val="8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0" fontId="3" fillId="0" borderId="1" xfId="0" applyNumberFormat="1" applyFont="1" applyFill="1" applyBorder="1" applyAlignment="1">
      <alignment horizontal="justify" vertical="top" wrapText="1"/>
    </xf>
    <xf numFmtId="0" fontId="3" fillId="0" borderId="2" xfId="0" applyNumberFormat="1" applyFont="1" applyFill="1" applyBorder="1" applyAlignment="1">
      <alignment horizontal="justify" vertical="top" wrapText="1"/>
    </xf>
    <xf numFmtId="43" fontId="3" fillId="0" borderId="2" xfId="1" applyFont="1" applyFill="1" applyBorder="1" applyAlignment="1">
      <alignment horizontal="justify" vertical="top" wrapText="1"/>
    </xf>
    <xf numFmtId="0" fontId="8" fillId="0" borderId="2" xfId="0" applyFont="1" applyFill="1" applyBorder="1"/>
    <xf numFmtId="43" fontId="5" fillId="0" borderId="0" xfId="1" applyFont="1" applyAlignment="1">
      <alignment horizontal="center"/>
    </xf>
    <xf numFmtId="43" fontId="5" fillId="0" borderId="0" xfId="1" applyFont="1"/>
    <xf numFmtId="0" fontId="9" fillId="2" borderId="0" xfId="0" applyFont="1" applyFill="1"/>
    <xf numFmtId="0" fontId="10" fillId="0" borderId="0" xfId="0" applyFont="1"/>
    <xf numFmtId="43" fontId="5" fillId="0" borderId="3" xfId="1" applyFont="1" applyFill="1" applyBorder="1" applyAlignment="1">
      <alignment horizontal="center"/>
    </xf>
    <xf numFmtId="43" fontId="5" fillId="0" borderId="3" xfId="1" applyFont="1" applyFill="1" applyBorder="1"/>
    <xf numFmtId="43" fontId="7" fillId="2" borderId="4" xfId="1" applyFont="1" applyFill="1" applyBorder="1" applyAlignment="1">
      <alignment horizontal="center"/>
    </xf>
    <xf numFmtId="43" fontId="9" fillId="3" borderId="5" xfId="1" applyFont="1" applyFill="1" applyBorder="1" applyAlignment="1">
      <alignment horizontal="center"/>
    </xf>
    <xf numFmtId="43" fontId="7" fillId="0" borderId="6" xfId="1" applyFont="1" applyFill="1" applyBorder="1" applyAlignment="1">
      <alignment horizontal="center"/>
    </xf>
    <xf numFmtId="43" fontId="7" fillId="0" borderId="6" xfId="1" applyFont="1" applyFill="1" applyBorder="1"/>
    <xf numFmtId="43" fontId="7" fillId="0" borderId="4" xfId="1" applyFont="1" applyFill="1" applyBorder="1" applyAlignment="1">
      <alignment horizontal="center"/>
    </xf>
    <xf numFmtId="0" fontId="3" fillId="0" borderId="7" xfId="0" applyNumberFormat="1" applyFont="1" applyFill="1" applyBorder="1" applyAlignment="1">
      <alignment horizontal="justify" vertical="top" wrapText="1"/>
    </xf>
    <xf numFmtId="0" fontId="8" fillId="0" borderId="1" xfId="0" applyFont="1" applyFill="1" applyBorder="1"/>
    <xf numFmtId="0" fontId="8" fillId="0" borderId="8" xfId="0" applyFont="1" applyFill="1" applyBorder="1"/>
    <xf numFmtId="0" fontId="8" fillId="3" borderId="5" xfId="0" applyFont="1" applyFill="1" applyBorder="1"/>
    <xf numFmtId="43" fontId="5" fillId="0" borderId="0" xfId="1" applyFont="1" applyFill="1" applyAlignment="1">
      <alignment horizontal="center"/>
    </xf>
    <xf numFmtId="43" fontId="5" fillId="0" borderId="0" xfId="1" applyFont="1" applyFill="1"/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3" fillId="0" borderId="0" xfId="0" applyNumberFormat="1" applyFont="1" applyFill="1"/>
    <xf numFmtId="0" fontId="3" fillId="0" borderId="0" xfId="0" applyFont="1" applyFill="1"/>
    <xf numFmtId="0" fontId="9" fillId="0" borderId="0" xfId="0" applyFont="1" applyFill="1"/>
    <xf numFmtId="0" fontId="9" fillId="0" borderId="0" xfId="0" applyFont="1" applyFill="1" applyBorder="1"/>
    <xf numFmtId="43" fontId="7" fillId="0" borderId="3" xfId="1" applyFont="1" applyFill="1" applyBorder="1" applyAlignment="1">
      <alignment horizontal="center"/>
    </xf>
    <xf numFmtId="43" fontId="7" fillId="0" borderId="3" xfId="1" applyFont="1" applyFill="1" applyBorder="1"/>
    <xf numFmtId="0" fontId="8" fillId="3" borderId="2" xfId="0" applyFont="1" applyFill="1" applyBorder="1"/>
    <xf numFmtId="43" fontId="9" fillId="3" borderId="3" xfId="1" applyFont="1" applyFill="1" applyBorder="1" applyAlignment="1">
      <alignment horizontal="center"/>
    </xf>
    <xf numFmtId="43" fontId="9" fillId="2" borderId="0" xfId="0" applyNumberFormat="1" applyFont="1" applyFill="1"/>
    <xf numFmtId="43" fontId="9" fillId="0" borderId="0" xfId="0" applyNumberFormat="1" applyFont="1" applyFill="1"/>
    <xf numFmtId="43" fontId="7" fillId="0" borderId="0" xfId="0" applyNumberFormat="1" applyFont="1" applyFill="1"/>
    <xf numFmtId="0" fontId="11" fillId="3" borderId="5" xfId="0" applyFont="1" applyFill="1" applyBorder="1"/>
    <xf numFmtId="43" fontId="11" fillId="3" borderId="5" xfId="1" applyFont="1" applyFill="1" applyBorder="1" applyAlignment="1">
      <alignment horizontal="center"/>
    </xf>
    <xf numFmtId="43" fontId="12" fillId="0" borderId="6" xfId="1" applyFont="1" applyFill="1" applyBorder="1" applyAlignment="1">
      <alignment horizontal="center"/>
    </xf>
    <xf numFmtId="0" fontId="13" fillId="3" borderId="2" xfId="0" applyFont="1" applyFill="1" applyBorder="1"/>
    <xf numFmtId="0" fontId="14" fillId="0" borderId="2" xfId="0" applyFont="1" applyFill="1" applyBorder="1"/>
    <xf numFmtId="0" fontId="13" fillId="0" borderId="2" xfId="0" applyFont="1" applyFill="1" applyBorder="1"/>
    <xf numFmtId="0" fontId="8" fillId="3" borderId="9" xfId="0" applyFont="1" applyFill="1" applyBorder="1"/>
    <xf numFmtId="43" fontId="7" fillId="3" borderId="10" xfId="1" applyFont="1" applyFill="1" applyBorder="1" applyAlignment="1">
      <alignment horizontal="center"/>
    </xf>
    <xf numFmtId="43" fontId="7" fillId="3" borderId="10" xfId="1" applyFont="1" applyFill="1" applyBorder="1"/>
    <xf numFmtId="0" fontId="15" fillId="3" borderId="9" xfId="0" applyFont="1" applyFill="1" applyBorder="1"/>
    <xf numFmtId="0" fontId="13" fillId="3" borderId="9" xfId="0" applyFont="1" applyFill="1" applyBorder="1"/>
    <xf numFmtId="43" fontId="3" fillId="0" borderId="4" xfId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left" vertical="top" wrapText="1" indent="1"/>
    </xf>
    <xf numFmtId="43" fontId="3" fillId="0" borderId="3" xfId="1" applyFont="1" applyFill="1" applyBorder="1" applyAlignment="1">
      <alignment horizontal="center"/>
    </xf>
    <xf numFmtId="43" fontId="3" fillId="0" borderId="3" xfId="1" applyFont="1" applyFill="1" applyBorder="1"/>
    <xf numFmtId="4" fontId="3" fillId="0" borderId="3" xfId="1" applyNumberFormat="1" applyFont="1" applyFill="1" applyBorder="1"/>
    <xf numFmtId="43" fontId="3" fillId="0" borderId="11" xfId="1" applyFont="1" applyFill="1" applyBorder="1" applyAlignment="1">
      <alignment horizontal="center"/>
    </xf>
    <xf numFmtId="0" fontId="11" fillId="0" borderId="5" xfId="0" applyFont="1" applyFill="1" applyBorder="1"/>
    <xf numFmtId="43" fontId="12" fillId="2" borderId="4" xfId="1" applyFont="1" applyFill="1" applyBorder="1" applyAlignment="1">
      <alignment horizontal="center"/>
    </xf>
    <xf numFmtId="0" fontId="11" fillId="0" borderId="12" xfId="0" applyFont="1" applyFill="1" applyBorder="1"/>
    <xf numFmtId="43" fontId="12" fillId="2" borderId="10" xfId="1" applyFont="1" applyFill="1" applyBorder="1" applyAlignment="1">
      <alignment horizontal="center"/>
    </xf>
    <xf numFmtId="43" fontId="12" fillId="0" borderId="10" xfId="1" applyFont="1" applyFill="1" applyBorder="1" applyAlignment="1">
      <alignment horizontal="center"/>
    </xf>
    <xf numFmtId="43" fontId="12" fillId="0" borderId="10" xfId="1" applyFont="1" applyFill="1" applyBorder="1"/>
    <xf numFmtId="2" fontId="12" fillId="0" borderId="10" xfId="1" applyNumberFormat="1" applyFont="1" applyFill="1" applyBorder="1"/>
    <xf numFmtId="0" fontId="11" fillId="0" borderId="0" xfId="0" applyFont="1" applyFill="1" applyBorder="1"/>
    <xf numFmtId="0" fontId="7" fillId="2" borderId="20" xfId="0" applyFont="1" applyFill="1" applyBorder="1"/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6" fillId="0" borderId="4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43" fontId="16" fillId="0" borderId="4" xfId="1" applyFont="1" applyFill="1" applyBorder="1" applyAlignment="1">
      <alignment horizontal="center"/>
    </xf>
    <xf numFmtId="43" fontId="16" fillId="0" borderId="3" xfId="1" applyFont="1" applyFill="1" applyBorder="1" applyAlignment="1">
      <alignment horizontal="center"/>
    </xf>
    <xf numFmtId="43" fontId="6" fillId="0" borderId="16" xfId="1" applyFont="1" applyFill="1" applyBorder="1" applyAlignment="1">
      <alignment horizontal="center"/>
    </xf>
    <xf numFmtId="43" fontId="6" fillId="0" borderId="4" xfId="1" applyFont="1" applyFill="1" applyBorder="1" applyAlignment="1">
      <alignment horizontal="center"/>
    </xf>
    <xf numFmtId="0" fontId="17" fillId="0" borderId="13" xfId="0" applyFont="1" applyFill="1" applyBorder="1" applyAlignment="1">
      <alignment horizontal="center"/>
    </xf>
    <xf numFmtId="0" fontId="17" fillId="0" borderId="14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43" fontId="6" fillId="0" borderId="19" xfId="1" applyFont="1" applyFill="1" applyBorder="1" applyAlignment="1">
      <alignment horizontal="center"/>
    </xf>
    <xf numFmtId="43" fontId="6" fillId="0" borderId="1" xfId="1" applyFont="1" applyFill="1" applyBorder="1" applyAlignment="1">
      <alignment horizontal="center"/>
    </xf>
    <xf numFmtId="0" fontId="17" fillId="0" borderId="13" xfId="0" applyFont="1" applyFill="1" applyBorder="1" applyAlignment="1">
      <alignment horizontal="left"/>
    </xf>
    <xf numFmtId="0" fontId="17" fillId="0" borderId="14" xfId="0" applyFont="1" applyFill="1" applyBorder="1" applyAlignment="1">
      <alignment horizontal="left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4"/>
  <sheetViews>
    <sheetView topLeftCell="A10" zoomScaleNormal="100" workbookViewId="0">
      <selection activeCell="J23" sqref="J23"/>
    </sheetView>
  </sheetViews>
  <sheetFormatPr defaultRowHeight="12.75"/>
  <cols>
    <col min="1" max="1" width="44" style="33" customWidth="1"/>
    <col min="2" max="2" width="9.85546875" style="26" customWidth="1"/>
    <col min="3" max="3" width="9.28515625" style="26" customWidth="1"/>
    <col min="4" max="4" width="9.140625" style="27" customWidth="1"/>
    <col min="5" max="5" width="9" style="27" bestFit="1" customWidth="1"/>
    <col min="6" max="7" width="8.85546875" style="27" customWidth="1"/>
    <col min="8" max="8" width="9" style="27" customWidth="1"/>
    <col min="9" max="9" width="8" style="27" customWidth="1"/>
    <col min="10" max="10" width="9.5703125" style="27" customWidth="1"/>
    <col min="11" max="11" width="10.28515625" style="27" customWidth="1"/>
    <col min="12" max="12" width="9.140625" style="27" customWidth="1"/>
    <col min="13" max="13" width="10.28515625" style="27" customWidth="1"/>
    <col min="14" max="16384" width="9.140625" style="29"/>
  </cols>
  <sheetData>
    <row r="1" spans="1:14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4" ht="21.75" thickBot="1">
      <c r="A2" s="69" t="s">
        <v>53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4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4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4">
      <c r="A5" s="7" t="s">
        <v>33</v>
      </c>
      <c r="B5" s="54">
        <v>3500</v>
      </c>
      <c r="C5" s="54">
        <v>3500</v>
      </c>
      <c r="D5" s="54">
        <v>3500</v>
      </c>
      <c r="E5" s="54">
        <v>3500</v>
      </c>
      <c r="F5" s="54">
        <v>3500</v>
      </c>
      <c r="G5" s="54">
        <v>3500</v>
      </c>
      <c r="H5" s="54">
        <v>3500</v>
      </c>
      <c r="I5" s="54"/>
      <c r="J5" s="54"/>
      <c r="K5" s="54"/>
      <c r="L5" s="54"/>
      <c r="M5" s="54"/>
    </row>
    <row r="6" spans="1:14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4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4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4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4" ht="25.5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4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4" s="34" customFormat="1">
      <c r="A12" s="8" t="s">
        <v>40</v>
      </c>
      <c r="B12" s="56">
        <v>0</v>
      </c>
      <c r="C12" s="56">
        <v>0</v>
      </c>
      <c r="D12" s="56">
        <v>0</v>
      </c>
      <c r="E12" s="54">
        <v>0</v>
      </c>
      <c r="F12" s="54">
        <v>0</v>
      </c>
      <c r="G12" s="57"/>
      <c r="H12" s="57"/>
      <c r="I12" s="58"/>
      <c r="J12" s="57"/>
      <c r="K12" s="57"/>
      <c r="L12" s="57"/>
      <c r="M12" s="57"/>
    </row>
    <row r="13" spans="1:14" s="31" customFormat="1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4" s="34" customFormat="1" ht="25.5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4" s="31" customFormat="1">
      <c r="A15" s="9" t="s">
        <v>43</v>
      </c>
      <c r="B15" s="56">
        <v>0</v>
      </c>
      <c r="C15" s="56">
        <v>0</v>
      </c>
      <c r="D15" s="56">
        <v>0</v>
      </c>
      <c r="E15" s="54">
        <v>0</v>
      </c>
      <c r="F15" s="56">
        <v>305.33999999999997</v>
      </c>
      <c r="G15" s="56"/>
      <c r="H15" s="56"/>
      <c r="I15" s="56"/>
      <c r="J15" s="56"/>
      <c r="K15" s="56"/>
      <c r="L15" s="56"/>
      <c r="M15" s="56"/>
    </row>
    <row r="16" spans="1:14" s="31" customFormat="1" ht="25.5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7">
        <v>0</v>
      </c>
      <c r="G16" s="57"/>
      <c r="H16" s="57"/>
      <c r="I16" s="57"/>
      <c r="J16" s="57"/>
      <c r="K16" s="57"/>
      <c r="L16" s="57"/>
      <c r="M16" s="57"/>
      <c r="N16" s="6"/>
    </row>
    <row r="17" spans="1:13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7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0</v>
      </c>
      <c r="C18" s="59">
        <v>0</v>
      </c>
      <c r="D18" s="59">
        <v>0</v>
      </c>
      <c r="E18" s="56">
        <v>1022.5</v>
      </c>
      <c r="F18" s="56">
        <v>0</v>
      </c>
      <c r="G18" s="56">
        <v>1042</v>
      </c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>
        <f t="shared" ref="B19:H19" si="0">SUM(B5:B18)</f>
        <v>3500</v>
      </c>
      <c r="C19" s="44">
        <f t="shared" si="0"/>
        <v>3500</v>
      </c>
      <c r="D19" s="44">
        <f t="shared" si="0"/>
        <v>3500</v>
      </c>
      <c r="E19" s="44">
        <f t="shared" si="0"/>
        <v>4522.5</v>
      </c>
      <c r="F19" s="44">
        <f t="shared" si="0"/>
        <v>3805.34</v>
      </c>
      <c r="G19" s="44">
        <f t="shared" si="0"/>
        <v>4542</v>
      </c>
      <c r="H19" s="44">
        <f t="shared" si="0"/>
        <v>3500</v>
      </c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1500</v>
      </c>
      <c r="C20" s="56">
        <v>1500</v>
      </c>
      <c r="D20" s="56">
        <v>1500</v>
      </c>
      <c r="E20" s="56">
        <v>0</v>
      </c>
      <c r="F20" s="56"/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f>B19-B20</f>
        <v>2000</v>
      </c>
      <c r="C21" s="44">
        <f t="shared" ref="C21:M21" si="1">C19-C20</f>
        <v>2000</v>
      </c>
      <c r="D21" s="44">
        <f t="shared" si="1"/>
        <v>2000</v>
      </c>
      <c r="E21" s="44">
        <f t="shared" si="1"/>
        <v>4522.5</v>
      </c>
      <c r="F21" s="44">
        <f t="shared" si="1"/>
        <v>3805.34</v>
      </c>
      <c r="G21" s="44">
        <f t="shared" si="1"/>
        <v>4542</v>
      </c>
      <c r="H21" s="44">
        <f t="shared" si="1"/>
        <v>3500</v>
      </c>
      <c r="I21" s="44">
        <f t="shared" si="1"/>
        <v>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>
      <c r="A22" s="60" t="s">
        <v>18</v>
      </c>
      <c r="B22" s="61">
        <f>AVERAGE(B21)</f>
        <v>2000</v>
      </c>
      <c r="C22" s="61">
        <f>AVERAGE(B21:C21)</f>
        <v>2000</v>
      </c>
      <c r="D22" s="61">
        <f>AVERAGE(B21:D21)</f>
        <v>2000</v>
      </c>
      <c r="E22" s="61">
        <f>AVERAGE(B21:E21)</f>
        <v>2630.625</v>
      </c>
      <c r="F22" s="61">
        <f>AVERAGE(B21:F21)</f>
        <v>2865.5680000000002</v>
      </c>
      <c r="G22" s="61">
        <f>AVERAGE(B21:G21)</f>
        <v>3144.9733333333334</v>
      </c>
      <c r="H22" s="61">
        <f>AVERAGE(B21:H21)</f>
        <v>3195.6914285714288</v>
      </c>
      <c r="I22" s="61"/>
      <c r="J22" s="61"/>
      <c r="K22" s="61"/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24"/>
  <sheetViews>
    <sheetView topLeftCell="A7" zoomScaleNormal="100" workbookViewId="0">
      <selection activeCell="H21" sqref="H21"/>
    </sheetView>
  </sheetViews>
  <sheetFormatPr defaultRowHeight="12.75"/>
  <cols>
    <col min="1" max="1" width="51" style="2" customWidth="1"/>
    <col min="2" max="3" width="9" style="11" bestFit="1" customWidth="1"/>
    <col min="4" max="8" width="9" style="12" bestFit="1" customWidth="1"/>
    <col min="9" max="13" width="7.85546875" style="12" bestFit="1" customWidth="1"/>
    <col min="14" max="16384" width="9.140625" style="4"/>
  </cols>
  <sheetData>
    <row r="1" spans="1:13" s="1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51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s="13" customFormat="1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6" customFormat="1">
      <c r="A12" s="8" t="s">
        <v>40</v>
      </c>
      <c r="B12" s="56">
        <v>2100</v>
      </c>
      <c r="C12" s="56">
        <v>1960</v>
      </c>
      <c r="D12" s="57">
        <v>2170</v>
      </c>
      <c r="E12" s="57">
        <v>2100</v>
      </c>
      <c r="F12" s="57">
        <v>4650</v>
      </c>
      <c r="G12" s="57">
        <v>4500</v>
      </c>
      <c r="H12" s="57">
        <v>3100</v>
      </c>
      <c r="I12" s="58"/>
      <c r="J12" s="57"/>
      <c r="K12" s="57"/>
      <c r="L12" s="57"/>
      <c r="M12" s="57"/>
    </row>
    <row r="13" spans="1:13" s="13" customFormat="1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6" customFormat="1" ht="25.5">
      <c r="A14" s="8" t="s">
        <v>42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6" customFormat="1">
      <c r="A15" s="9" t="s">
        <v>43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ht="25.5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4">
        <v>0</v>
      </c>
      <c r="C18" s="54">
        <v>0</v>
      </c>
      <c r="D18" s="54">
        <v>0</v>
      </c>
      <c r="E18" s="56">
        <v>2502.5</v>
      </c>
      <c r="F18" s="54">
        <v>0</v>
      </c>
      <c r="G18" s="56"/>
      <c r="H18" s="56">
        <v>1505</v>
      </c>
      <c r="I18" s="56"/>
      <c r="J18" s="56"/>
      <c r="K18" s="56"/>
      <c r="L18" s="56"/>
      <c r="M18" s="56"/>
    </row>
    <row r="19" spans="1:13" ht="13.5" thickBot="1">
      <c r="A19" s="43" t="s">
        <v>47</v>
      </c>
      <c r="B19" s="44">
        <f t="shared" ref="B19:H19" si="0">SUM(B5:B18)</f>
        <v>2100</v>
      </c>
      <c r="C19" s="44">
        <f t="shared" si="0"/>
        <v>1960</v>
      </c>
      <c r="D19" s="44">
        <f t="shared" si="0"/>
        <v>2170</v>
      </c>
      <c r="E19" s="44">
        <f t="shared" si="0"/>
        <v>4602.5</v>
      </c>
      <c r="F19" s="44">
        <f t="shared" si="0"/>
        <v>4650</v>
      </c>
      <c r="G19" s="44">
        <f t="shared" si="0"/>
        <v>4500</v>
      </c>
      <c r="H19" s="44">
        <f t="shared" si="0"/>
        <v>4605</v>
      </c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100</v>
      </c>
      <c r="C20" s="56"/>
      <c r="D20" s="56">
        <v>170</v>
      </c>
      <c r="E20" s="56">
        <v>2.5</v>
      </c>
      <c r="F20" s="56">
        <v>50</v>
      </c>
      <c r="G20" s="56"/>
      <c r="H20" s="56">
        <v>5</v>
      </c>
      <c r="I20" s="56"/>
      <c r="J20" s="56"/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f>B19-B20</f>
        <v>2000</v>
      </c>
      <c r="C21" s="44">
        <f t="shared" ref="C21:M21" si="1">C19-C20</f>
        <v>1960</v>
      </c>
      <c r="D21" s="44">
        <f t="shared" si="1"/>
        <v>2000</v>
      </c>
      <c r="E21" s="44">
        <f t="shared" si="1"/>
        <v>4600</v>
      </c>
      <c r="F21" s="44">
        <f t="shared" si="1"/>
        <v>4600</v>
      </c>
      <c r="G21" s="44">
        <f t="shared" si="1"/>
        <v>4500</v>
      </c>
      <c r="H21" s="44">
        <f t="shared" si="1"/>
        <v>4600</v>
      </c>
      <c r="I21" s="44">
        <f t="shared" si="1"/>
        <v>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>
      <c r="A22" s="60" t="s">
        <v>18</v>
      </c>
      <c r="B22" s="61">
        <f>AVERAGE(B21)</f>
        <v>2000</v>
      </c>
      <c r="C22" s="61">
        <f>AVERAGE(B21:C21)</f>
        <v>1980</v>
      </c>
      <c r="D22" s="61">
        <f>AVERAGE(B21:D21)</f>
        <v>1986.6666666666667</v>
      </c>
      <c r="E22" s="61">
        <f>AVERAGE(B21:E21)</f>
        <v>2640</v>
      </c>
      <c r="F22" s="61">
        <f>AVERAGE(B21:F21)</f>
        <v>3032</v>
      </c>
      <c r="G22" s="61">
        <f>AVERAGE(B21:G21)</f>
        <v>3276.6666666666665</v>
      </c>
      <c r="H22" s="61">
        <f>AVERAGE(B21:H21)</f>
        <v>3465.7142857142858</v>
      </c>
      <c r="I22" s="61"/>
      <c r="J22" s="61"/>
      <c r="K22" s="61"/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" right="0" top="0.19685039370078741" bottom="0.19685039370078741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A25" sqref="A25"/>
    </sheetView>
  </sheetViews>
  <sheetFormatPr defaultRowHeight="12.75"/>
  <cols>
    <col min="1" max="1" width="57.42578125" style="2" customWidth="1"/>
    <col min="2" max="2" width="9.28515625" style="11" customWidth="1"/>
    <col min="3" max="3" width="10" style="11" customWidth="1"/>
    <col min="4" max="4" width="9.28515625" style="12" customWidth="1"/>
    <col min="5" max="5" width="10.28515625" style="12" bestFit="1" customWidth="1"/>
    <col min="6" max="7" width="9" style="12" bestFit="1" customWidth="1"/>
    <col min="8" max="9" width="8.7109375" style="12" customWidth="1"/>
    <col min="10" max="10" width="8.85546875" style="12" customWidth="1"/>
    <col min="11" max="11" width="8.42578125" style="12" customWidth="1"/>
    <col min="12" max="12" width="9" style="12" customWidth="1"/>
    <col min="13" max="13" width="8.7109375" style="12" customWidth="1"/>
    <col min="14" max="16384" width="9.140625" style="4"/>
  </cols>
  <sheetData>
    <row r="1" spans="1:13" s="1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59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5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13" customFormat="1">
      <c r="A12" s="8" t="s">
        <v>40</v>
      </c>
      <c r="B12" s="56">
        <v>1890</v>
      </c>
      <c r="C12" s="56">
        <v>2070</v>
      </c>
      <c r="D12" s="57">
        <v>2070</v>
      </c>
      <c r="E12" s="57">
        <v>4570</v>
      </c>
      <c r="F12" s="57">
        <v>4570</v>
      </c>
      <c r="G12" s="57"/>
      <c r="H12" s="57">
        <v>4590</v>
      </c>
      <c r="I12" s="58"/>
      <c r="J12" s="57"/>
      <c r="K12" s="57"/>
      <c r="L12" s="57"/>
      <c r="M12" s="57"/>
    </row>
    <row r="13" spans="1:13" s="6" customFormat="1">
      <c r="A13" s="8" t="s">
        <v>41</v>
      </c>
      <c r="B13" s="56">
        <v>0</v>
      </c>
      <c r="C13" s="56">
        <v>0</v>
      </c>
      <c r="D13" s="56">
        <v>0</v>
      </c>
      <c r="E13" s="56">
        <v>0</v>
      </c>
      <c r="F13" s="56">
        <v>0</v>
      </c>
      <c r="G13" s="57"/>
      <c r="H13" s="57"/>
      <c r="I13" s="57"/>
      <c r="J13" s="57"/>
      <c r="K13" s="57"/>
      <c r="L13" s="57"/>
      <c r="M13" s="57"/>
    </row>
    <row r="14" spans="1:13" s="13" customFormat="1">
      <c r="A14" s="8" t="s">
        <v>42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7"/>
      <c r="H14" s="57"/>
      <c r="I14" s="57"/>
      <c r="J14" s="57"/>
      <c r="K14" s="57"/>
      <c r="L14" s="57"/>
      <c r="M14" s="57"/>
    </row>
    <row r="15" spans="1:13" s="6" customFormat="1">
      <c r="A15" s="9" t="s">
        <v>43</v>
      </c>
      <c r="B15" s="56">
        <v>0</v>
      </c>
      <c r="C15" s="56">
        <v>0</v>
      </c>
      <c r="D15" s="56">
        <v>0</v>
      </c>
      <c r="E15" s="56">
        <v>0</v>
      </c>
      <c r="F15" s="56">
        <v>0</v>
      </c>
      <c r="G15" s="56"/>
      <c r="H15" s="56"/>
      <c r="I15" s="56"/>
      <c r="J15" s="56"/>
      <c r="K15" s="56"/>
      <c r="L15" s="56"/>
      <c r="M15" s="56"/>
    </row>
    <row r="16" spans="1:13" s="6" customFormat="1" ht="25.5">
      <c r="A16" s="8" t="s">
        <v>44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>
        <v>0</v>
      </c>
      <c r="C17" s="56">
        <v>0</v>
      </c>
      <c r="D17" s="56">
        <v>0</v>
      </c>
      <c r="E17" s="56">
        <v>0</v>
      </c>
      <c r="F17" s="56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0</v>
      </c>
      <c r="C18" s="59">
        <v>0</v>
      </c>
      <c r="D18" s="59">
        <v>0</v>
      </c>
      <c r="E18" s="56">
        <v>0</v>
      </c>
      <c r="F18" s="56">
        <v>0</v>
      </c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>
        <f>SUM(B5:B18)</f>
        <v>1890</v>
      </c>
      <c r="C19" s="44">
        <f>SUM(C5:C18)</f>
        <v>2070</v>
      </c>
      <c r="D19" s="44">
        <f>SUM(D5:D18)</f>
        <v>2070</v>
      </c>
      <c r="E19" s="44">
        <f t="shared" ref="E19:H19" si="0">SUM(E5:E18)</f>
        <v>4570</v>
      </c>
      <c r="F19" s="44">
        <f t="shared" si="0"/>
        <v>4570</v>
      </c>
      <c r="G19" s="44" t="s">
        <v>55</v>
      </c>
      <c r="H19" s="44">
        <f t="shared" si="0"/>
        <v>4590</v>
      </c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0</v>
      </c>
      <c r="C20" s="56">
        <v>70</v>
      </c>
      <c r="D20" s="56">
        <v>70</v>
      </c>
      <c r="E20" s="56"/>
      <c r="F20" s="56"/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f>B19-B20</f>
        <v>1890</v>
      </c>
      <c r="C21" s="44">
        <f t="shared" ref="C21:M21" si="1">C19-C20</f>
        <v>2000</v>
      </c>
      <c r="D21" s="44">
        <f t="shared" si="1"/>
        <v>2000</v>
      </c>
      <c r="E21" s="44">
        <v>4570</v>
      </c>
      <c r="F21" s="44">
        <v>4570</v>
      </c>
      <c r="G21" s="44">
        <v>0</v>
      </c>
      <c r="H21" s="44">
        <v>4590</v>
      </c>
      <c r="I21" s="44">
        <f t="shared" si="1"/>
        <v>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>
      <c r="A22" s="60" t="s">
        <v>18</v>
      </c>
      <c r="B22" s="61">
        <f>AVERAGE(B21)</f>
        <v>1890</v>
      </c>
      <c r="C22" s="61">
        <f>AVERAGE(B21:C21)</f>
        <v>1945</v>
      </c>
      <c r="D22" s="61">
        <f>AVERAGE(B21:D21)</f>
        <v>1963.3333333333333</v>
      </c>
      <c r="E22" s="61">
        <f>AVERAGE(B21:E21)</f>
        <v>2615</v>
      </c>
      <c r="F22" s="61">
        <f>AVERAGE(B21:F21)</f>
        <v>3006</v>
      </c>
      <c r="G22" s="61">
        <f>AVERAGE(B21:G21)</f>
        <v>2505</v>
      </c>
      <c r="H22" s="61">
        <f>AVERAGE(B21:H21)</f>
        <v>2802.8571428571427</v>
      </c>
      <c r="I22" s="61"/>
      <c r="J22" s="61"/>
      <c r="K22" s="61"/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H21" sqref="H21"/>
    </sheetView>
  </sheetViews>
  <sheetFormatPr defaultRowHeight="12.75"/>
  <cols>
    <col min="1" max="1" width="59.140625" style="33" customWidth="1"/>
    <col min="2" max="3" width="9" style="26" bestFit="1" customWidth="1"/>
    <col min="4" max="8" width="9" style="27" bestFit="1" customWidth="1"/>
    <col min="9" max="9" width="7.85546875" style="27" bestFit="1" customWidth="1"/>
    <col min="10" max="10" width="9.42578125" style="27" customWidth="1"/>
    <col min="11" max="13" width="7.85546875" style="27" bestFit="1" customWidth="1"/>
    <col min="14" max="16384" width="9.140625" style="29"/>
  </cols>
  <sheetData>
    <row r="1" spans="1:13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61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2500</v>
      </c>
      <c r="C5" s="54">
        <v>2500</v>
      </c>
      <c r="D5" s="54">
        <v>2500</v>
      </c>
      <c r="E5" s="54">
        <v>2500</v>
      </c>
      <c r="F5" s="54">
        <v>2500</v>
      </c>
      <c r="G5" s="54">
        <v>2500</v>
      </c>
      <c r="H5" s="54">
        <v>2500</v>
      </c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242.49</v>
      </c>
      <c r="F7" s="54">
        <v>462.31</v>
      </c>
      <c r="G7" s="54">
        <v>448.23</v>
      </c>
      <c r="H7" s="54">
        <v>480.54</v>
      </c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41.18</v>
      </c>
      <c r="F8" s="54">
        <v>42</v>
      </c>
      <c r="G8" s="54">
        <v>42</v>
      </c>
      <c r="H8" s="54">
        <v>42</v>
      </c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615.9</v>
      </c>
      <c r="G9" s="54"/>
      <c r="H9" s="54">
        <f>615.9*2</f>
        <v>1231.8</v>
      </c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51.41</v>
      </c>
      <c r="F10" s="54">
        <v>182.53</v>
      </c>
      <c r="G10" s="54">
        <v>204.56</v>
      </c>
      <c r="H10" s="54">
        <v>280.58999999999997</v>
      </c>
      <c r="I10" s="54"/>
      <c r="J10" s="54"/>
      <c r="K10" s="54"/>
      <c r="L10" s="54"/>
      <c r="M10" s="54"/>
    </row>
    <row r="11" spans="1:13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1" customFormat="1">
      <c r="A12" s="8" t="s">
        <v>40</v>
      </c>
      <c r="B12" s="56">
        <v>0</v>
      </c>
      <c r="C12" s="56">
        <v>0</v>
      </c>
      <c r="D12" s="56">
        <v>0</v>
      </c>
      <c r="E12" s="54">
        <v>0</v>
      </c>
      <c r="F12" s="54">
        <v>0</v>
      </c>
      <c r="G12" s="57"/>
      <c r="H12" s="57"/>
      <c r="I12" s="58"/>
      <c r="J12" s="57"/>
      <c r="K12" s="57"/>
      <c r="L12" s="57"/>
      <c r="M12" s="57"/>
    </row>
    <row r="13" spans="1:13" s="31" customFormat="1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1" customFormat="1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>
      <c r="A15" s="9" t="s">
        <v>43</v>
      </c>
      <c r="B15" s="56">
        <v>0</v>
      </c>
      <c r="C15" s="56">
        <v>0</v>
      </c>
      <c r="D15" s="56">
        <v>0</v>
      </c>
      <c r="E15" s="56">
        <f>55+171.8</f>
        <v>226.8</v>
      </c>
      <c r="F15" s="56">
        <f>125.92+115.44</f>
        <v>241.36</v>
      </c>
      <c r="G15" s="56"/>
      <c r="H15" s="56"/>
      <c r="I15" s="56"/>
      <c r="J15" s="56"/>
      <c r="K15" s="56"/>
      <c r="L15" s="56"/>
      <c r="M15" s="56"/>
    </row>
    <row r="16" spans="1:13" s="31" customFormat="1">
      <c r="A16" s="8" t="s">
        <v>44</v>
      </c>
      <c r="B16" s="56">
        <v>0</v>
      </c>
      <c r="C16" s="56">
        <v>0</v>
      </c>
      <c r="D16" s="56">
        <v>0</v>
      </c>
      <c r="E16" s="57">
        <v>0</v>
      </c>
      <c r="F16" s="57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>
        <v>0</v>
      </c>
      <c r="C17" s="56">
        <v>0</v>
      </c>
      <c r="D17" s="56">
        <v>0</v>
      </c>
      <c r="E17" s="57">
        <v>0</v>
      </c>
      <c r="F17" s="57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0</v>
      </c>
      <c r="C18" s="59">
        <v>0</v>
      </c>
      <c r="D18" s="59">
        <v>0</v>
      </c>
      <c r="E18" s="56">
        <v>1600</v>
      </c>
      <c r="F18" s="56">
        <v>450</v>
      </c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>
        <f t="shared" ref="B19:H19" si="0">SUM(B5:B18)</f>
        <v>2500</v>
      </c>
      <c r="C19" s="44">
        <f t="shared" si="0"/>
        <v>2500</v>
      </c>
      <c r="D19" s="44">
        <f t="shared" si="0"/>
        <v>2500</v>
      </c>
      <c r="E19" s="44">
        <f t="shared" si="0"/>
        <v>4661.8799999999992</v>
      </c>
      <c r="F19" s="44">
        <f t="shared" si="0"/>
        <v>4494.1000000000004</v>
      </c>
      <c r="G19" s="44">
        <f t="shared" si="0"/>
        <v>3194.79</v>
      </c>
      <c r="H19" s="44">
        <f t="shared" si="0"/>
        <v>4534.93</v>
      </c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500</v>
      </c>
      <c r="C20" s="56">
        <v>500</v>
      </c>
      <c r="D20" s="56">
        <v>500</v>
      </c>
      <c r="E20" s="56">
        <f>55+51.41+1+2.43+171.8</f>
        <v>281.64</v>
      </c>
      <c r="F20" s="56">
        <v>38.89</v>
      </c>
      <c r="G20" s="56">
        <v>16.97</v>
      </c>
      <c r="H20" s="56">
        <v>72.52</v>
      </c>
      <c r="I20" s="56"/>
      <c r="J20" s="56"/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f>B19-B20</f>
        <v>2000</v>
      </c>
      <c r="C21" s="44">
        <f t="shared" ref="C21:M21" si="1">C19-C20</f>
        <v>2000</v>
      </c>
      <c r="D21" s="44">
        <f t="shared" si="1"/>
        <v>2000</v>
      </c>
      <c r="E21" s="44">
        <f t="shared" si="1"/>
        <v>4380.2399999999989</v>
      </c>
      <c r="F21" s="44">
        <f t="shared" si="1"/>
        <v>4455.21</v>
      </c>
      <c r="G21" s="44">
        <f t="shared" si="1"/>
        <v>3177.82</v>
      </c>
      <c r="H21" s="44">
        <f t="shared" si="1"/>
        <v>4462.41</v>
      </c>
      <c r="I21" s="44">
        <f t="shared" si="1"/>
        <v>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>
      <c r="A22" s="60" t="s">
        <v>18</v>
      </c>
      <c r="B22" s="61">
        <f>AVERAGE(B21)</f>
        <v>2000</v>
      </c>
      <c r="C22" s="61">
        <f>AVERAGE(B21:C21)</f>
        <v>2000</v>
      </c>
      <c r="D22" s="61">
        <f>AVERAGE(B21:D21)</f>
        <v>2000</v>
      </c>
      <c r="E22" s="61">
        <f>AVERAGE(B21:E21)</f>
        <v>2595.0599999999995</v>
      </c>
      <c r="F22" s="61">
        <f>AVERAGE(B21:F21)</f>
        <v>2967.0899999999992</v>
      </c>
      <c r="G22" s="61">
        <f>AVERAGE(B21:G21)</f>
        <v>3002.2116666666661</v>
      </c>
      <c r="H22" s="61">
        <f>AVERAGE(B21:H21)</f>
        <v>3210.8114285714282</v>
      </c>
      <c r="I22" s="61"/>
      <c r="J22" s="61"/>
      <c r="K22" s="61"/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M33"/>
  <sheetViews>
    <sheetView topLeftCell="A10" zoomScaleNormal="100" workbookViewId="0">
      <selection activeCell="I28" sqref="I28"/>
    </sheetView>
  </sheetViews>
  <sheetFormatPr defaultRowHeight="12.75"/>
  <cols>
    <col min="1" max="1" width="68.85546875" style="2" customWidth="1"/>
    <col min="2" max="2" width="9.28515625" style="11" customWidth="1"/>
    <col min="3" max="3" width="10.42578125" style="11" customWidth="1"/>
    <col min="4" max="4" width="11.140625" style="12" customWidth="1"/>
    <col min="5" max="5" width="9" style="12" bestFit="1" customWidth="1"/>
    <col min="6" max="6" width="10.85546875" style="12" customWidth="1"/>
    <col min="7" max="7" width="9.28515625" style="12" customWidth="1"/>
    <col min="8" max="8" width="9.42578125" style="12" customWidth="1"/>
    <col min="9" max="9" width="8.5703125" style="12" customWidth="1"/>
    <col min="10" max="10" width="9.7109375" style="12" customWidth="1"/>
    <col min="11" max="11" width="9.5703125" style="12" customWidth="1"/>
    <col min="12" max="12" width="11.7109375" style="12" customWidth="1"/>
    <col min="13" max="13" width="13" style="12" customWidth="1"/>
    <col min="14" max="16384" width="9.140625" style="4"/>
  </cols>
  <sheetData>
    <row r="1" spans="1:13" s="1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62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5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900</v>
      </c>
      <c r="C5" s="54">
        <v>938</v>
      </c>
      <c r="D5" s="54">
        <v>938</v>
      </c>
      <c r="E5" s="54">
        <v>938</v>
      </c>
      <c r="F5" s="54">
        <v>938</v>
      </c>
      <c r="G5" s="54">
        <v>938</v>
      </c>
      <c r="H5" s="54">
        <v>939</v>
      </c>
      <c r="I5" s="54"/>
      <c r="J5" s="54"/>
      <c r="K5" s="54"/>
      <c r="L5" s="54"/>
      <c r="M5" s="54"/>
    </row>
    <row r="6" spans="1:13">
      <c r="A6" s="55" t="s">
        <v>34</v>
      </c>
      <c r="B6" s="54">
        <v>195.11</v>
      </c>
      <c r="C6" s="54">
        <v>120.11</v>
      </c>
      <c r="D6" s="54">
        <v>154.94</v>
      </c>
      <c r="E6" s="54">
        <v>173.12</v>
      </c>
      <c r="F6" s="54">
        <v>180.1</v>
      </c>
      <c r="G6" s="54">
        <v>263.36</v>
      </c>
      <c r="H6" s="54"/>
      <c r="I6" s="54"/>
      <c r="J6" s="54"/>
      <c r="K6" s="54"/>
      <c r="L6" s="54"/>
      <c r="M6" s="54"/>
    </row>
    <row r="7" spans="1:13">
      <c r="A7" s="55" t="s">
        <v>35</v>
      </c>
      <c r="B7" s="54"/>
      <c r="C7" s="54"/>
      <c r="D7" s="54"/>
      <c r="E7" s="54"/>
      <c r="F7" s="54"/>
      <c r="G7" s="54"/>
      <c r="H7" s="54">
        <v>186.34</v>
      </c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</row>
    <row r="11" spans="1:13">
      <c r="A11" s="7" t="s">
        <v>39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</row>
    <row r="12" spans="1:13" s="6" customFormat="1">
      <c r="A12" s="8" t="s">
        <v>40</v>
      </c>
      <c r="B12" s="56">
        <v>0</v>
      </c>
      <c r="C12" s="56"/>
      <c r="D12" s="57"/>
      <c r="E12" s="57"/>
      <c r="F12" s="57"/>
      <c r="G12" s="57"/>
      <c r="H12" s="57"/>
      <c r="I12" s="58"/>
      <c r="J12" s="57"/>
      <c r="K12" s="57"/>
      <c r="L12" s="57"/>
      <c r="M12" s="57"/>
    </row>
    <row r="13" spans="1:13" s="13" customFormat="1">
      <c r="A13" s="8" t="s">
        <v>41</v>
      </c>
      <c r="B13" s="56">
        <v>0</v>
      </c>
      <c r="C13" s="56"/>
      <c r="D13" s="57"/>
      <c r="E13" s="57"/>
      <c r="F13" s="57"/>
      <c r="G13" s="57"/>
      <c r="H13" s="57">
        <v>350</v>
      </c>
      <c r="I13" s="57"/>
      <c r="J13" s="57"/>
      <c r="K13" s="57"/>
      <c r="L13" s="57"/>
      <c r="M13" s="57"/>
    </row>
    <row r="14" spans="1:13" s="13" customFormat="1">
      <c r="A14" s="8" t="s">
        <v>42</v>
      </c>
      <c r="B14" s="56"/>
      <c r="C14" s="56"/>
      <c r="D14" s="57"/>
      <c r="E14" s="57"/>
      <c r="F14" s="57"/>
      <c r="G14" s="57"/>
      <c r="H14" s="57"/>
      <c r="I14" s="57"/>
      <c r="J14" s="57"/>
      <c r="K14" s="57"/>
      <c r="L14" s="57"/>
      <c r="M14" s="57"/>
    </row>
    <row r="15" spans="1:13" s="13" customFormat="1">
      <c r="A15" s="9" t="s">
        <v>43</v>
      </c>
      <c r="B15" s="56">
        <f>477.15+430</f>
        <v>907.15</v>
      </c>
      <c r="C15" s="56">
        <v>221.78</v>
      </c>
      <c r="D15" s="56">
        <f>659+235.61</f>
        <v>894.61</v>
      </c>
      <c r="E15" s="56">
        <f>239+605.7</f>
        <v>844.7</v>
      </c>
      <c r="F15" s="56">
        <f>544.5+308.44+343.8</f>
        <v>1196.74</v>
      </c>
      <c r="G15" s="56">
        <v>1380.69</v>
      </c>
      <c r="H15" s="56">
        <f>81.94+391.34+225.25+461.13</f>
        <v>1159.6599999999999</v>
      </c>
      <c r="I15" s="56"/>
      <c r="J15" s="56"/>
      <c r="K15" s="56"/>
      <c r="L15" s="56"/>
      <c r="M15" s="56"/>
    </row>
    <row r="16" spans="1:13" s="6" customFormat="1">
      <c r="A16" s="8" t="s">
        <v>44</v>
      </c>
      <c r="B16" s="56"/>
      <c r="C16" s="56"/>
      <c r="D16" s="57"/>
      <c r="E16" s="57"/>
      <c r="F16" s="57"/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/>
      <c r="C17" s="56"/>
      <c r="D17" s="57"/>
      <c r="E17" s="57"/>
      <c r="F17" s="57"/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0</v>
      </c>
      <c r="C18" s="56">
        <v>61.4</v>
      </c>
      <c r="D18" s="56"/>
      <c r="E18" s="56">
        <v>43.4</v>
      </c>
      <c r="F18" s="56">
        <v>27</v>
      </c>
      <c r="G18" s="56"/>
      <c r="H18" s="56">
        <f>55+10</f>
        <v>65</v>
      </c>
      <c r="I18" s="56"/>
      <c r="J18" s="56"/>
      <c r="K18" s="56"/>
      <c r="L18" s="56"/>
      <c r="M18" s="56"/>
    </row>
    <row r="19" spans="1:13" ht="13.5" thickBot="1">
      <c r="A19" s="43" t="s">
        <v>47</v>
      </c>
      <c r="B19" s="44">
        <f t="shared" ref="B19:H19" si="0">SUM(B5:B18)</f>
        <v>2002.2600000000002</v>
      </c>
      <c r="C19" s="44">
        <f t="shared" si="0"/>
        <v>1341.29</v>
      </c>
      <c r="D19" s="44">
        <f t="shared" si="0"/>
        <v>1987.5500000000002</v>
      </c>
      <c r="E19" s="44">
        <f t="shared" si="0"/>
        <v>1999.22</v>
      </c>
      <c r="F19" s="44">
        <f t="shared" si="0"/>
        <v>2341.84</v>
      </c>
      <c r="G19" s="44">
        <f t="shared" si="0"/>
        <v>2582.0500000000002</v>
      </c>
      <c r="H19" s="44">
        <f t="shared" si="0"/>
        <v>2700</v>
      </c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2.2599999999999998</v>
      </c>
      <c r="C20" s="56">
        <v>4.97</v>
      </c>
      <c r="D20" s="56">
        <v>0</v>
      </c>
      <c r="E20" s="56">
        <v>43.4</v>
      </c>
      <c r="F20" s="56">
        <v>27</v>
      </c>
      <c r="G20" s="56"/>
      <c r="H20" s="56">
        <v>66</v>
      </c>
      <c r="I20" s="56"/>
      <c r="J20" s="56"/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f>B19-B20</f>
        <v>2000.0000000000002</v>
      </c>
      <c r="C21" s="44">
        <f t="shared" ref="C21:M21" si="1">C19-C20</f>
        <v>1336.32</v>
      </c>
      <c r="D21" s="44">
        <f t="shared" si="1"/>
        <v>1987.5500000000002</v>
      </c>
      <c r="E21" s="44">
        <f t="shared" si="1"/>
        <v>1955.82</v>
      </c>
      <c r="F21" s="44">
        <f t="shared" si="1"/>
        <v>2314.84</v>
      </c>
      <c r="G21" s="44">
        <f t="shared" si="1"/>
        <v>2582.0500000000002</v>
      </c>
      <c r="H21" s="44">
        <f t="shared" si="1"/>
        <v>2634</v>
      </c>
      <c r="I21" s="44">
        <f t="shared" si="1"/>
        <v>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>
      <c r="A22" s="60" t="s">
        <v>18</v>
      </c>
      <c r="B22" s="61">
        <f>AVERAGE(B21)</f>
        <v>2000.0000000000002</v>
      </c>
      <c r="C22" s="61">
        <f>AVERAGE(B21:C21)</f>
        <v>1668.16</v>
      </c>
      <c r="D22" s="61">
        <f>AVERAGE(B21:D21)</f>
        <v>1774.6233333333337</v>
      </c>
      <c r="E22" s="61">
        <f>AVERAGE(B21:E21)</f>
        <v>1819.9225000000001</v>
      </c>
      <c r="F22" s="61">
        <f t="shared" ref="F22" si="2">AVERAGE(C21:F21)</f>
        <v>1898.6324999999999</v>
      </c>
      <c r="G22" s="61">
        <f>AVERAGE(B21:G21)</f>
        <v>2029.4300000000003</v>
      </c>
      <c r="H22" s="61">
        <f>AVERAGE(B21:H21)</f>
        <v>2115.7971428571432</v>
      </c>
      <c r="I22" s="61"/>
      <c r="J22" s="61"/>
      <c r="K22" s="61"/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  <row r="25" spans="1:13">
      <c r="B25" s="11" t="s">
        <v>30</v>
      </c>
    </row>
    <row r="33" spans="13:13">
      <c r="M33" s="12" t="s">
        <v>27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N9" sqref="N9"/>
    </sheetView>
  </sheetViews>
  <sheetFormatPr defaultRowHeight="12.75"/>
  <cols>
    <col min="1" max="1" width="64.5703125" style="33" customWidth="1"/>
    <col min="2" max="2" width="10.85546875" style="26" customWidth="1"/>
    <col min="3" max="3" width="9" style="26" bestFit="1" customWidth="1"/>
    <col min="4" max="8" width="9" style="27" bestFit="1" customWidth="1"/>
    <col min="9" max="13" width="7.85546875" style="27" bestFit="1" customWidth="1"/>
    <col min="14" max="16384" width="9.140625" style="29"/>
  </cols>
  <sheetData>
    <row r="1" spans="1:13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65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900</v>
      </c>
      <c r="G5" s="54">
        <v>900</v>
      </c>
      <c r="H5" s="54">
        <v>900</v>
      </c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s="34" customFormat="1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1" customFormat="1">
      <c r="A12" s="8" t="s">
        <v>40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7"/>
      <c r="H12" s="57"/>
      <c r="I12" s="58"/>
      <c r="J12" s="57"/>
      <c r="K12" s="57"/>
      <c r="L12" s="57"/>
      <c r="M12" s="57"/>
    </row>
    <row r="13" spans="1:13" s="34" customFormat="1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1" customFormat="1">
      <c r="A14" s="8" t="s">
        <v>42</v>
      </c>
      <c r="B14" s="54">
        <v>0</v>
      </c>
      <c r="C14" s="54">
        <v>0</v>
      </c>
      <c r="D14" s="54">
        <v>0</v>
      </c>
      <c r="E14" s="57">
        <v>4300</v>
      </c>
      <c r="F14" s="57">
        <v>3100</v>
      </c>
      <c r="G14" s="57">
        <v>2700</v>
      </c>
      <c r="H14" s="57">
        <v>3700</v>
      </c>
      <c r="I14" s="57"/>
      <c r="J14" s="57"/>
      <c r="K14" s="57"/>
      <c r="L14" s="57"/>
      <c r="M14" s="57"/>
    </row>
    <row r="15" spans="1:13" s="31" customFormat="1">
      <c r="A15" s="9" t="s">
        <v>43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1998.5</v>
      </c>
      <c r="C18" s="56">
        <v>1980</v>
      </c>
      <c r="D18" s="54">
        <v>0</v>
      </c>
      <c r="E18" s="54">
        <v>0</v>
      </c>
      <c r="F18" s="54">
        <v>0</v>
      </c>
      <c r="G18" s="56">
        <v>1050</v>
      </c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>
        <f>SUM(B5:B18)</f>
        <v>1998.5</v>
      </c>
      <c r="C19" s="44">
        <f>SUM(C5:C18)</f>
        <v>1980</v>
      </c>
      <c r="D19" s="44" t="s">
        <v>55</v>
      </c>
      <c r="E19" s="44">
        <f>SUM(E5:E18)</f>
        <v>4300</v>
      </c>
      <c r="F19" s="44">
        <f>SUM(F5:F18)</f>
        <v>4000</v>
      </c>
      <c r="G19" s="44">
        <f>SUM(G5:G18)</f>
        <v>4650</v>
      </c>
      <c r="H19" s="44">
        <f>SUM(H5:H18)</f>
        <v>4600</v>
      </c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0</v>
      </c>
      <c r="C20" s="56">
        <v>0</v>
      </c>
      <c r="D20" s="56">
        <v>0</v>
      </c>
      <c r="E20" s="56">
        <v>0</v>
      </c>
      <c r="F20" s="56">
        <v>0</v>
      </c>
      <c r="G20" s="56">
        <v>50</v>
      </c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f>B19-B20</f>
        <v>1998.5</v>
      </c>
      <c r="C21" s="44">
        <f t="shared" ref="C21:M21" si="0">C19-C20</f>
        <v>1980</v>
      </c>
      <c r="D21" s="44">
        <v>0</v>
      </c>
      <c r="E21" s="44">
        <f t="shared" si="0"/>
        <v>4300</v>
      </c>
      <c r="F21" s="44">
        <f t="shared" si="0"/>
        <v>4000</v>
      </c>
      <c r="G21" s="44">
        <f t="shared" si="0"/>
        <v>4600</v>
      </c>
      <c r="H21" s="44">
        <f t="shared" si="0"/>
        <v>4600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>
      <c r="A22" s="60" t="s">
        <v>18</v>
      </c>
      <c r="B22" s="61">
        <f>AVERAGE(B21)</f>
        <v>1998.5</v>
      </c>
      <c r="C22" s="61">
        <f>AVERAGE(B21:C21)</f>
        <v>1989.25</v>
      </c>
      <c r="D22" s="61">
        <f>AVERAGE(B21:D21)</f>
        <v>1326.1666666666667</v>
      </c>
      <c r="E22" s="61">
        <f>AVERAGE(B21:E21)</f>
        <v>2069.625</v>
      </c>
      <c r="F22" s="61">
        <f>AVERAGE(B21:F21)</f>
        <v>2455.6999999999998</v>
      </c>
      <c r="G22" s="61">
        <f>AVERAGE(B21:G21)</f>
        <v>2813.0833333333335</v>
      </c>
      <c r="H22" s="61">
        <f>AVERAGE(B21:H21)</f>
        <v>3068.3571428571427</v>
      </c>
      <c r="I22" s="61"/>
      <c r="J22" s="61"/>
      <c r="K22" s="61"/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M24"/>
  <sheetViews>
    <sheetView topLeftCell="A7" zoomScaleNormal="100" workbookViewId="0">
      <selection activeCell="N16" sqref="N16"/>
    </sheetView>
  </sheetViews>
  <sheetFormatPr defaultRowHeight="12.75"/>
  <cols>
    <col min="1" max="1" width="60.7109375" style="33" customWidth="1"/>
    <col min="2" max="3" width="9" style="26" bestFit="1" customWidth="1"/>
    <col min="4" max="7" width="9" style="27" bestFit="1" customWidth="1"/>
    <col min="8" max="8" width="8.85546875" style="27" bestFit="1" customWidth="1"/>
    <col min="9" max="13" width="7.85546875" style="27" bestFit="1" customWidth="1"/>
    <col min="14" max="16384" width="9.140625" style="29"/>
  </cols>
  <sheetData>
    <row r="1" spans="1:13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64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4000</v>
      </c>
      <c r="E5" s="54">
        <v>4000</v>
      </c>
      <c r="F5" s="54">
        <v>4000</v>
      </c>
      <c r="G5" s="54">
        <v>4000</v>
      </c>
      <c r="H5" s="54">
        <v>4000</v>
      </c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111.26</v>
      </c>
      <c r="F7" s="54">
        <v>163.53</v>
      </c>
      <c r="G7" s="54">
        <v>217.94</v>
      </c>
      <c r="H7" s="54">
        <v>437.38</v>
      </c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361.24</v>
      </c>
      <c r="G8" s="54">
        <v>120.16</v>
      </c>
      <c r="H8" s="54">
        <v>106.12</v>
      </c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376.35</v>
      </c>
      <c r="F9" s="54">
        <v>0</v>
      </c>
      <c r="G9" s="54">
        <v>398.91</v>
      </c>
      <c r="H9" s="54">
        <v>398.91</v>
      </c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155.22</v>
      </c>
      <c r="G10" s="54"/>
      <c r="H10" s="54">
        <v>191.42</v>
      </c>
      <c r="I10" s="54"/>
      <c r="J10" s="54"/>
      <c r="K10" s="54"/>
      <c r="L10" s="54"/>
      <c r="M10" s="54"/>
    </row>
    <row r="11" spans="1:13" s="34" customFormat="1">
      <c r="A11" s="7" t="s">
        <v>39</v>
      </c>
      <c r="B11" s="56"/>
      <c r="C11" s="56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1" customFormat="1">
      <c r="A12" s="8" t="s">
        <v>40</v>
      </c>
      <c r="B12" s="56">
        <v>2700</v>
      </c>
      <c r="C12" s="56">
        <v>0</v>
      </c>
      <c r="D12" s="54">
        <v>0</v>
      </c>
      <c r="E12" s="54">
        <v>0</v>
      </c>
      <c r="F12" s="54">
        <v>0</v>
      </c>
      <c r="G12" s="57"/>
      <c r="H12" s="57"/>
      <c r="I12" s="58"/>
      <c r="J12" s="57"/>
      <c r="K12" s="57"/>
      <c r="L12" s="57"/>
      <c r="M12" s="57"/>
    </row>
    <row r="13" spans="1:13" s="34" customFormat="1">
      <c r="A13" s="8" t="s">
        <v>41</v>
      </c>
      <c r="B13" s="56">
        <v>0</v>
      </c>
      <c r="C13" s="56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1" customFormat="1">
      <c r="A14" s="8" t="s">
        <v>42</v>
      </c>
      <c r="B14" s="56">
        <v>0</v>
      </c>
      <c r="C14" s="56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>
      <c r="A15" s="9" t="s">
        <v>43</v>
      </c>
      <c r="B15" s="56">
        <v>0</v>
      </c>
      <c r="C15" s="56">
        <v>2050</v>
      </c>
      <c r="D15" s="54">
        <v>0</v>
      </c>
      <c r="E15" s="56">
        <v>52.5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>
      <c r="A16" s="8" t="s">
        <v>44</v>
      </c>
      <c r="B16" s="56">
        <v>0</v>
      </c>
      <c r="C16" s="56">
        <v>0</v>
      </c>
      <c r="D16" s="54">
        <v>0</v>
      </c>
      <c r="E16" s="57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>
        <v>0</v>
      </c>
      <c r="C17" s="56">
        <v>0</v>
      </c>
      <c r="D17" s="54">
        <v>0</v>
      </c>
      <c r="E17" s="57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0</v>
      </c>
      <c r="C18" s="56">
        <v>0</v>
      </c>
      <c r="D18" s="54">
        <v>0</v>
      </c>
      <c r="E18" s="56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>
        <f t="shared" ref="B19:H19" si="0">SUM(B5:B18)</f>
        <v>2700</v>
      </c>
      <c r="C19" s="44">
        <f t="shared" si="0"/>
        <v>2050</v>
      </c>
      <c r="D19" s="44">
        <f t="shared" si="0"/>
        <v>4000</v>
      </c>
      <c r="E19" s="44">
        <f t="shared" si="0"/>
        <v>4540.1100000000006</v>
      </c>
      <c r="F19" s="44">
        <f t="shared" si="0"/>
        <v>4679.99</v>
      </c>
      <c r="G19" s="44">
        <f t="shared" si="0"/>
        <v>4737.0099999999993</v>
      </c>
      <c r="H19" s="44">
        <f t="shared" si="0"/>
        <v>5133.83</v>
      </c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700</v>
      </c>
      <c r="C20" s="56">
        <v>764.55</v>
      </c>
      <c r="D20" s="56">
        <v>2000</v>
      </c>
      <c r="E20" s="56">
        <f>376.35+52.5</f>
        <v>428.85</v>
      </c>
      <c r="F20" s="56">
        <v>79.989999999999995</v>
      </c>
      <c r="G20" s="56">
        <v>137.01</v>
      </c>
      <c r="H20" s="56">
        <f>34.52+499.31</f>
        <v>533.83000000000004</v>
      </c>
      <c r="I20" s="56"/>
      <c r="J20" s="56"/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f>B19-B20</f>
        <v>2000</v>
      </c>
      <c r="C21" s="44">
        <f t="shared" ref="C21:M21" si="1">C19-C20</f>
        <v>1285.45</v>
      </c>
      <c r="D21" s="44">
        <f t="shared" si="1"/>
        <v>2000</v>
      </c>
      <c r="E21" s="44">
        <f t="shared" si="1"/>
        <v>4111.26</v>
      </c>
      <c r="F21" s="44">
        <f t="shared" si="1"/>
        <v>4600</v>
      </c>
      <c r="G21" s="44">
        <f t="shared" si="1"/>
        <v>4599.9999999999991</v>
      </c>
      <c r="H21" s="44">
        <f t="shared" si="1"/>
        <v>4600</v>
      </c>
      <c r="I21" s="44">
        <f t="shared" si="1"/>
        <v>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>
      <c r="A22" s="60" t="s">
        <v>18</v>
      </c>
      <c r="B22" s="61">
        <f>AVERAGE(B21)</f>
        <v>2000</v>
      </c>
      <c r="C22" s="61">
        <f>AVERAGE(B21:C21)</f>
        <v>1642.7249999999999</v>
      </c>
      <c r="D22" s="61">
        <f>AVERAGE(B21:D21)</f>
        <v>1761.8166666666666</v>
      </c>
      <c r="E22" s="61">
        <f>AVERAGE(B21:E21)</f>
        <v>2349.1774999999998</v>
      </c>
      <c r="F22" s="61">
        <f>AVERAGE(B21:F21)</f>
        <v>2799.3419999999996</v>
      </c>
      <c r="G22" s="61">
        <f>AVERAGE(B21:G21)</f>
        <v>3099.4516666666664</v>
      </c>
      <c r="H22" s="61">
        <f>AVERAGE(B21:H21)</f>
        <v>3313.815714285714</v>
      </c>
      <c r="I22" s="61"/>
      <c r="J22" s="61"/>
      <c r="K22" s="61"/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M24"/>
  <sheetViews>
    <sheetView topLeftCell="A7" zoomScaleNormal="100" workbookViewId="0">
      <selection activeCell="H23" sqref="H23"/>
    </sheetView>
  </sheetViews>
  <sheetFormatPr defaultRowHeight="12.75"/>
  <cols>
    <col min="1" max="1" width="56.42578125" style="2" customWidth="1"/>
    <col min="2" max="2" width="10.140625" style="11" customWidth="1"/>
    <col min="3" max="3" width="9" style="11" customWidth="1"/>
    <col min="4" max="8" width="9" style="12" bestFit="1" customWidth="1"/>
    <col min="9" max="10" width="7.85546875" style="12" bestFit="1" customWidth="1"/>
    <col min="11" max="11" width="8.7109375" style="12" customWidth="1"/>
    <col min="12" max="12" width="7.5703125" style="12" customWidth="1"/>
    <col min="13" max="13" width="9.5703125" style="12" customWidth="1"/>
    <col min="14" max="16384" width="9.140625" style="4"/>
  </cols>
  <sheetData>
    <row r="1" spans="1:13" s="1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63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5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13" customFormat="1">
      <c r="A12" s="8" t="s">
        <v>40</v>
      </c>
      <c r="B12" s="56">
        <v>0</v>
      </c>
      <c r="C12" s="56">
        <v>0</v>
      </c>
      <c r="D12" s="56">
        <v>0</v>
      </c>
      <c r="E12" s="57">
        <v>1690</v>
      </c>
      <c r="F12" s="57">
        <v>2470</v>
      </c>
      <c r="G12" s="57"/>
      <c r="H12" s="57"/>
      <c r="I12" s="58"/>
      <c r="J12" s="57"/>
      <c r="K12" s="57"/>
      <c r="L12" s="57"/>
      <c r="M12" s="57"/>
    </row>
    <row r="13" spans="1:13" s="6" customFormat="1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13" customFormat="1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6" customFormat="1">
      <c r="A15" s="9" t="s">
        <v>43</v>
      </c>
      <c r="B15" s="56">
        <v>349.8</v>
      </c>
      <c r="C15" s="56">
        <v>751.05</v>
      </c>
      <c r="D15" s="56">
        <f>146.75+181+145</f>
        <v>472.75</v>
      </c>
      <c r="E15" s="56">
        <f>1609.59+207.6</f>
        <v>1817.1899999999998</v>
      </c>
      <c r="F15" s="56">
        <v>1413.99</v>
      </c>
      <c r="G15" s="56">
        <v>2295.89</v>
      </c>
      <c r="H15" s="56">
        <f>201.5+59.9</f>
        <v>261.39999999999998</v>
      </c>
      <c r="I15" s="56"/>
      <c r="J15" s="56"/>
      <c r="K15" s="56"/>
      <c r="L15" s="56"/>
      <c r="M15" s="56"/>
    </row>
    <row r="16" spans="1:13" s="6" customFormat="1" ht="25.5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0</v>
      </c>
      <c r="C18" s="56">
        <v>1300</v>
      </c>
      <c r="D18" s="56">
        <v>1530</v>
      </c>
      <c r="E18" s="56">
        <v>1160</v>
      </c>
      <c r="F18" s="56">
        <v>740</v>
      </c>
      <c r="G18" s="56">
        <v>1830</v>
      </c>
      <c r="H18" s="56">
        <v>1761.4</v>
      </c>
      <c r="I18" s="56"/>
      <c r="J18" s="56"/>
      <c r="K18" s="56"/>
      <c r="L18" s="56"/>
      <c r="M18" s="56"/>
    </row>
    <row r="19" spans="1:13" ht="13.5" thickBot="1">
      <c r="A19" s="43" t="s">
        <v>47</v>
      </c>
      <c r="B19" s="44">
        <f t="shared" ref="B19:H19" si="0">SUM(B5:B18)</f>
        <v>349.8</v>
      </c>
      <c r="C19" s="44">
        <f t="shared" si="0"/>
        <v>2051.0500000000002</v>
      </c>
      <c r="D19" s="44">
        <f t="shared" si="0"/>
        <v>2002.75</v>
      </c>
      <c r="E19" s="44">
        <f t="shared" si="0"/>
        <v>4667.1899999999996</v>
      </c>
      <c r="F19" s="44">
        <f t="shared" si="0"/>
        <v>4623.99</v>
      </c>
      <c r="G19" s="44">
        <f t="shared" si="0"/>
        <v>4125.8899999999994</v>
      </c>
      <c r="H19" s="44">
        <f t="shared" si="0"/>
        <v>2022.8000000000002</v>
      </c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19.5</v>
      </c>
      <c r="C20" s="56">
        <v>51.05</v>
      </c>
      <c r="D20" s="56">
        <v>2.75</v>
      </c>
      <c r="E20" s="56">
        <v>207.6</v>
      </c>
      <c r="F20" s="56">
        <v>23.99</v>
      </c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f>B19-B20</f>
        <v>330.3</v>
      </c>
      <c r="C21" s="44">
        <f t="shared" ref="C21:M21" si="1">C19-C20</f>
        <v>2000.0000000000002</v>
      </c>
      <c r="D21" s="44">
        <f t="shared" si="1"/>
        <v>2000</v>
      </c>
      <c r="E21" s="44">
        <f t="shared" si="1"/>
        <v>4459.5899999999992</v>
      </c>
      <c r="F21" s="44">
        <f t="shared" si="1"/>
        <v>4600</v>
      </c>
      <c r="G21" s="44">
        <f t="shared" si="1"/>
        <v>4125.8899999999994</v>
      </c>
      <c r="H21" s="44">
        <f t="shared" si="1"/>
        <v>2022.8000000000002</v>
      </c>
      <c r="I21" s="44">
        <f t="shared" si="1"/>
        <v>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>
      <c r="A22" s="60" t="s">
        <v>18</v>
      </c>
      <c r="B22" s="61">
        <f>AVERAGE(B21)</f>
        <v>330.3</v>
      </c>
      <c r="C22" s="61">
        <f>AVERAGE(B21:C21)</f>
        <v>1165.1500000000001</v>
      </c>
      <c r="D22" s="61">
        <f>AVERAGE(B21:D21)</f>
        <v>1443.4333333333334</v>
      </c>
      <c r="E22" s="61">
        <f>AVERAGE(B21:E21)</f>
        <v>2197.4724999999999</v>
      </c>
      <c r="F22" s="61">
        <f>AVERAGE(B21:F21)</f>
        <v>2677.9780000000001</v>
      </c>
      <c r="G22" s="61">
        <f>AVERAGE(B21:G21)</f>
        <v>2919.2966666666666</v>
      </c>
      <c r="H22" s="61">
        <f>AVERAGE(B21:H21)</f>
        <v>2791.2257142857138</v>
      </c>
      <c r="I22" s="61"/>
      <c r="J22" s="61"/>
      <c r="K22" s="61"/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M24"/>
  <sheetViews>
    <sheetView topLeftCell="A7" zoomScaleNormal="100" workbookViewId="0">
      <selection activeCell="H13" sqref="H13"/>
    </sheetView>
  </sheetViews>
  <sheetFormatPr defaultRowHeight="12.75"/>
  <cols>
    <col min="1" max="1" width="63.28515625" style="33" customWidth="1"/>
    <col min="2" max="3" width="9" style="26" bestFit="1" customWidth="1"/>
    <col min="4" max="8" width="9" style="27" bestFit="1" customWidth="1"/>
    <col min="9" max="13" width="7.85546875" style="27" bestFit="1" customWidth="1"/>
    <col min="14" max="16384" width="9.140625" style="29"/>
  </cols>
  <sheetData>
    <row r="1" spans="1:13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66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3200</v>
      </c>
      <c r="C5" s="54">
        <v>3200</v>
      </c>
      <c r="D5" s="54">
        <v>3200</v>
      </c>
      <c r="E5" s="54">
        <v>3200</v>
      </c>
      <c r="F5" s="54">
        <v>3200</v>
      </c>
      <c r="G5" s="54">
        <v>3200</v>
      </c>
      <c r="H5" s="54">
        <v>3200</v>
      </c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>
      <c r="A12" s="8" t="s">
        <v>40</v>
      </c>
      <c r="B12" s="56">
        <v>0</v>
      </c>
      <c r="C12" s="56">
        <v>0</v>
      </c>
      <c r="D12" s="56">
        <v>0</v>
      </c>
      <c r="E12" s="57">
        <v>1400</v>
      </c>
      <c r="F12" s="57">
        <v>1400</v>
      </c>
      <c r="G12" s="57">
        <v>1400</v>
      </c>
      <c r="H12" s="57">
        <v>1400</v>
      </c>
      <c r="I12" s="58"/>
      <c r="J12" s="57"/>
      <c r="K12" s="57"/>
      <c r="L12" s="57"/>
      <c r="M12" s="57"/>
    </row>
    <row r="13" spans="1:13" s="31" customFormat="1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>
      <c r="A15" s="9" t="s">
        <v>43</v>
      </c>
      <c r="B15" s="56">
        <v>0</v>
      </c>
      <c r="C15" s="56">
        <v>0</v>
      </c>
      <c r="D15" s="56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0</v>
      </c>
      <c r="C18" s="59">
        <v>0</v>
      </c>
      <c r="D18" s="59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>
        <f t="shared" ref="B19:H19" si="0">SUM(B5:B18)</f>
        <v>3200</v>
      </c>
      <c r="C19" s="44">
        <f t="shared" si="0"/>
        <v>3200</v>
      </c>
      <c r="D19" s="44">
        <f t="shared" si="0"/>
        <v>3200</v>
      </c>
      <c r="E19" s="44">
        <f t="shared" si="0"/>
        <v>4600</v>
      </c>
      <c r="F19" s="44">
        <f t="shared" si="0"/>
        <v>4600</v>
      </c>
      <c r="G19" s="44">
        <f t="shared" si="0"/>
        <v>4600</v>
      </c>
      <c r="H19" s="44">
        <f t="shared" si="0"/>
        <v>4600</v>
      </c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1200</v>
      </c>
      <c r="C20" s="56">
        <v>1200</v>
      </c>
      <c r="D20" s="56">
        <v>1200</v>
      </c>
      <c r="E20" s="56">
        <v>0</v>
      </c>
      <c r="F20" s="56">
        <v>0</v>
      </c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f>B19-B20</f>
        <v>2000</v>
      </c>
      <c r="C21" s="44">
        <f t="shared" ref="C21:M21" si="1">C19-C20</f>
        <v>2000</v>
      </c>
      <c r="D21" s="44">
        <f t="shared" si="1"/>
        <v>2000</v>
      </c>
      <c r="E21" s="44">
        <f t="shared" si="1"/>
        <v>4600</v>
      </c>
      <c r="F21" s="44">
        <f t="shared" si="1"/>
        <v>4600</v>
      </c>
      <c r="G21" s="44">
        <f t="shared" si="1"/>
        <v>4600</v>
      </c>
      <c r="H21" s="44">
        <f t="shared" si="1"/>
        <v>4600</v>
      </c>
      <c r="I21" s="44">
        <f t="shared" si="1"/>
        <v>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>
      <c r="A22" s="60" t="s">
        <v>18</v>
      </c>
      <c r="B22" s="61">
        <f>AVERAGE(B21)</f>
        <v>2000</v>
      </c>
      <c r="C22" s="61">
        <f>AVERAGE(B21:C21)</f>
        <v>2000</v>
      </c>
      <c r="D22" s="61">
        <f>AVERAGE(B21:D21)</f>
        <v>2000</v>
      </c>
      <c r="E22" s="61">
        <f>AVERAGE(B21:E21)</f>
        <v>2650</v>
      </c>
      <c r="F22" s="61">
        <f>AVERAGE(B21:F21)</f>
        <v>3040</v>
      </c>
      <c r="G22" s="61">
        <f>AVERAGE(B21:G21)</f>
        <v>3300</v>
      </c>
      <c r="H22" s="61">
        <f>AVERAGE(B21:H21)</f>
        <v>3485.7142857142858</v>
      </c>
      <c r="I22" s="61"/>
      <c r="J22" s="61"/>
      <c r="K22" s="61"/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M25"/>
  <sheetViews>
    <sheetView topLeftCell="A4" zoomScaleNormal="100" workbookViewId="0">
      <selection activeCell="H22" sqref="H22"/>
    </sheetView>
  </sheetViews>
  <sheetFormatPr defaultRowHeight="12.75"/>
  <cols>
    <col min="1" max="1" width="59.140625" style="33" customWidth="1"/>
    <col min="2" max="2" width="9" style="26" customWidth="1"/>
    <col min="3" max="3" width="7.85546875" style="26" bestFit="1" customWidth="1"/>
    <col min="4" max="9" width="7.85546875" style="27" bestFit="1" customWidth="1"/>
    <col min="10" max="10" width="6.5703125" style="27" bestFit="1" customWidth="1"/>
    <col min="11" max="12" width="7.85546875" style="27" bestFit="1" customWidth="1"/>
    <col min="13" max="13" width="6.5703125" style="27" bestFit="1" customWidth="1"/>
    <col min="14" max="16384" width="9.140625" style="29"/>
  </cols>
  <sheetData>
    <row r="1" spans="1:13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67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>
      <c r="A12" s="8" t="s">
        <v>40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7"/>
      <c r="H12" s="57"/>
      <c r="I12" s="58"/>
      <c r="J12" s="57"/>
      <c r="K12" s="57"/>
      <c r="L12" s="57"/>
      <c r="M12" s="57"/>
    </row>
    <row r="13" spans="1:13" s="31" customFormat="1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>
      <c r="A14" s="8" t="s">
        <v>42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>
      <c r="A15" s="9" t="s">
        <v>43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4">
        <v>0</v>
      </c>
      <c r="C18" s="54">
        <v>0</v>
      </c>
      <c r="D18" s="54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 t="s">
        <v>55</v>
      </c>
      <c r="C19" s="44" t="s">
        <v>55</v>
      </c>
      <c r="D19" s="44" t="s">
        <v>55</v>
      </c>
      <c r="E19" s="44" t="s">
        <v>55</v>
      </c>
      <c r="F19" s="44" t="s">
        <v>55</v>
      </c>
      <c r="G19" s="44" t="s">
        <v>55</v>
      </c>
      <c r="H19" s="44" t="s">
        <v>55</v>
      </c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0</v>
      </c>
      <c r="C20" s="56"/>
      <c r="D20" s="56"/>
      <c r="E20" s="56"/>
      <c r="F20" s="56"/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f t="shared" ref="I21:M21" si="0">I19-I20</f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>
      <c r="A22" s="60" t="s">
        <v>18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  <row r="25" spans="1:13">
      <c r="A25" s="33" t="s">
        <v>88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M24"/>
  <sheetViews>
    <sheetView topLeftCell="A7" zoomScaleNormal="100" workbookViewId="0">
      <selection activeCell="A28" sqref="A28"/>
    </sheetView>
  </sheetViews>
  <sheetFormatPr defaultRowHeight="12.75"/>
  <cols>
    <col min="1" max="1" width="70" style="33" customWidth="1"/>
    <col min="2" max="2" width="7.85546875" style="26" bestFit="1" customWidth="1"/>
    <col min="3" max="3" width="9" style="26" bestFit="1" customWidth="1"/>
    <col min="4" max="8" width="9" style="27" bestFit="1" customWidth="1"/>
    <col min="9" max="13" width="7.85546875" style="27" bestFit="1" customWidth="1"/>
    <col min="14" max="16384" width="9.140625" style="29"/>
  </cols>
  <sheetData>
    <row r="1" spans="1:13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68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>
      <c r="A12" s="8" t="s">
        <v>40</v>
      </c>
      <c r="B12" s="56">
        <v>0</v>
      </c>
      <c r="C12" s="56">
        <v>1680</v>
      </c>
      <c r="D12" s="57">
        <v>1860</v>
      </c>
      <c r="E12" s="54">
        <v>3600</v>
      </c>
      <c r="F12" s="57">
        <v>3720</v>
      </c>
      <c r="G12" s="57">
        <v>3600</v>
      </c>
      <c r="H12" s="57">
        <v>3720</v>
      </c>
      <c r="I12" s="58"/>
      <c r="J12" s="57"/>
      <c r="K12" s="57"/>
      <c r="L12" s="57"/>
      <c r="M12" s="57"/>
    </row>
    <row r="13" spans="1:13" s="31" customFormat="1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>
      <c r="A15" s="9" t="s">
        <v>43</v>
      </c>
      <c r="B15" s="56">
        <v>0</v>
      </c>
      <c r="C15" s="56">
        <v>0</v>
      </c>
      <c r="D15" s="56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0</v>
      </c>
      <c r="C18" s="59">
        <v>0</v>
      </c>
      <c r="D18" s="59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 t="s">
        <v>55</v>
      </c>
      <c r="C19" s="44">
        <f t="shared" ref="C19:H19" si="0">SUM(C5:C18)</f>
        <v>1680</v>
      </c>
      <c r="D19" s="44">
        <f t="shared" si="0"/>
        <v>1860</v>
      </c>
      <c r="E19" s="44">
        <f t="shared" si="0"/>
        <v>3600</v>
      </c>
      <c r="F19" s="44">
        <f t="shared" si="0"/>
        <v>3720</v>
      </c>
      <c r="G19" s="44">
        <f t="shared" si="0"/>
        <v>3600</v>
      </c>
      <c r="H19" s="44">
        <f t="shared" si="0"/>
        <v>3720</v>
      </c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0</v>
      </c>
      <c r="C20" s="56">
        <v>0</v>
      </c>
      <c r="D20" s="56">
        <v>0</v>
      </c>
      <c r="E20" s="56">
        <v>0</v>
      </c>
      <c r="F20" s="56">
        <v>0</v>
      </c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v>0</v>
      </c>
      <c r="C21" s="44">
        <f t="shared" ref="C21:M21" si="1">C19-C20</f>
        <v>1680</v>
      </c>
      <c r="D21" s="44">
        <f t="shared" si="1"/>
        <v>1860</v>
      </c>
      <c r="E21" s="44">
        <f t="shared" si="1"/>
        <v>3600</v>
      </c>
      <c r="F21" s="44">
        <v>3720</v>
      </c>
      <c r="G21" s="44">
        <f t="shared" si="1"/>
        <v>3600</v>
      </c>
      <c r="H21" s="44">
        <f t="shared" si="1"/>
        <v>3720</v>
      </c>
      <c r="I21" s="44">
        <f t="shared" si="1"/>
        <v>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>
      <c r="A22" s="60" t="s">
        <v>18</v>
      </c>
      <c r="B22" s="61">
        <f>AVERAGE(B21)</f>
        <v>0</v>
      </c>
      <c r="C22" s="61">
        <f>AVERAGE(B21:C21)</f>
        <v>840</v>
      </c>
      <c r="D22" s="61">
        <f>AVERAGE(B21:D21)</f>
        <v>1180</v>
      </c>
      <c r="E22" s="61">
        <f>AVERAGE(B21:E21)</f>
        <v>1785</v>
      </c>
      <c r="F22" s="61">
        <f>AVERAGE(B21:F21)</f>
        <v>2172</v>
      </c>
      <c r="G22" s="61">
        <f>AVERAGE(B21:G21)</f>
        <v>2410</v>
      </c>
      <c r="H22" s="61">
        <f>AVERAGE(B21:H21)</f>
        <v>2597.1428571428573</v>
      </c>
      <c r="I22" s="61"/>
      <c r="J22" s="61"/>
      <c r="K22" s="61"/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4"/>
  <sheetViews>
    <sheetView topLeftCell="A7" zoomScaleNormal="100" workbookViewId="0">
      <selection activeCell="O12" sqref="O12"/>
    </sheetView>
  </sheetViews>
  <sheetFormatPr defaultRowHeight="12"/>
  <cols>
    <col min="1" max="1" width="51.7109375" style="3" customWidth="1"/>
    <col min="2" max="2" width="9" style="11" customWidth="1"/>
    <col min="3" max="3" width="8.140625" style="11" customWidth="1"/>
    <col min="4" max="7" width="9" style="12" bestFit="1" customWidth="1"/>
    <col min="8" max="8" width="8.7109375" style="12" customWidth="1"/>
    <col min="9" max="9" width="8" style="12" bestFit="1" customWidth="1"/>
    <col min="10" max="10" width="9.42578125" style="12" customWidth="1"/>
    <col min="11" max="11" width="8" style="12" bestFit="1" customWidth="1"/>
    <col min="12" max="12" width="8.140625" style="12" customWidth="1"/>
    <col min="13" max="13" width="8" style="12" bestFit="1" customWidth="1"/>
    <col min="14" max="16384" width="9.140625" style="4"/>
  </cols>
  <sheetData>
    <row r="1" spans="1:13" s="1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s="5" customFormat="1" ht="21.75" thickBot="1">
      <c r="A2" s="69" t="s">
        <v>50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ht="12.75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/>
      <c r="G5" s="54"/>
      <c r="H5" s="54"/>
      <c r="I5" s="54"/>
      <c r="J5" s="54"/>
      <c r="K5" s="54"/>
      <c r="L5" s="54"/>
      <c r="M5" s="54"/>
    </row>
    <row r="6" spans="1:13" ht="12.75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/>
      <c r="G6" s="54"/>
      <c r="H6" s="54"/>
      <c r="I6" s="54"/>
      <c r="J6" s="54"/>
      <c r="K6" s="54"/>
      <c r="L6" s="54"/>
      <c r="M6" s="54"/>
    </row>
    <row r="7" spans="1:13" ht="12.75">
      <c r="A7" s="55" t="s">
        <v>35</v>
      </c>
      <c r="B7" s="54">
        <v>0</v>
      </c>
      <c r="C7" s="54">
        <v>0</v>
      </c>
      <c r="D7" s="54">
        <v>0</v>
      </c>
      <c r="E7" s="54">
        <v>1050.73</v>
      </c>
      <c r="F7" s="54">
        <v>840.23</v>
      </c>
      <c r="G7" s="54">
        <v>707.04</v>
      </c>
      <c r="H7" s="54">
        <v>719.36</v>
      </c>
      <c r="I7" s="54"/>
      <c r="J7" s="54"/>
      <c r="K7" s="54"/>
      <c r="L7" s="54"/>
      <c r="M7" s="54"/>
    </row>
    <row r="8" spans="1:13" ht="12.75">
      <c r="A8" s="55" t="s">
        <v>36</v>
      </c>
      <c r="B8" s="54">
        <v>0</v>
      </c>
      <c r="C8" s="54">
        <v>0</v>
      </c>
      <c r="D8" s="54">
        <v>0</v>
      </c>
      <c r="E8" s="54">
        <v>119.22</v>
      </c>
      <c r="F8" s="54">
        <v>118.22</v>
      </c>
      <c r="G8" s="54">
        <v>118.22</v>
      </c>
      <c r="H8" s="54">
        <v>119.22</v>
      </c>
      <c r="I8" s="54"/>
      <c r="J8" s="54"/>
      <c r="K8" s="54"/>
      <c r="L8" s="54"/>
      <c r="M8" s="54"/>
    </row>
    <row r="9" spans="1:13" ht="12.75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456.54</v>
      </c>
      <c r="G9" s="54">
        <v>456.54</v>
      </c>
      <c r="H9" s="54">
        <v>456.64</v>
      </c>
      <c r="I9" s="54"/>
      <c r="J9" s="54"/>
      <c r="K9" s="54"/>
      <c r="L9" s="54"/>
      <c r="M9" s="54"/>
    </row>
    <row r="10" spans="1:13" ht="12.75">
      <c r="A10" s="55" t="s">
        <v>38</v>
      </c>
      <c r="B10" s="54">
        <v>0</v>
      </c>
      <c r="C10" s="54">
        <v>0</v>
      </c>
      <c r="D10" s="54">
        <v>0</v>
      </c>
      <c r="E10" s="54">
        <v>327.23</v>
      </c>
      <c r="F10" s="54">
        <v>317.66000000000003</v>
      </c>
      <c r="G10" s="54">
        <v>313.8</v>
      </c>
      <c r="H10" s="54">
        <v>321.62</v>
      </c>
      <c r="I10" s="54"/>
      <c r="J10" s="54"/>
      <c r="K10" s="54"/>
      <c r="L10" s="54"/>
      <c r="M10" s="54"/>
    </row>
    <row r="11" spans="1:13" s="13" customFormat="1" ht="12.75">
      <c r="A11" s="7" t="s">
        <v>39</v>
      </c>
      <c r="B11" s="56">
        <v>0</v>
      </c>
      <c r="C11" s="56">
        <v>0</v>
      </c>
      <c r="D11" s="56">
        <v>0</v>
      </c>
      <c r="E11" s="56">
        <v>0</v>
      </c>
      <c r="F11" s="56"/>
      <c r="G11" s="56"/>
      <c r="H11" s="56"/>
      <c r="I11" s="56"/>
      <c r="J11" s="56"/>
      <c r="K11" s="56"/>
      <c r="L11" s="56"/>
      <c r="M11" s="56"/>
    </row>
    <row r="12" spans="1:13" s="6" customFormat="1" ht="12.75">
      <c r="A12" s="8" t="s">
        <v>40</v>
      </c>
      <c r="B12" s="56">
        <v>0</v>
      </c>
      <c r="C12" s="56">
        <v>0</v>
      </c>
      <c r="D12" s="56">
        <v>0</v>
      </c>
      <c r="E12" s="57">
        <v>0</v>
      </c>
      <c r="F12" s="57"/>
      <c r="G12" s="57"/>
      <c r="H12" s="57"/>
      <c r="I12" s="58"/>
      <c r="J12" s="57"/>
      <c r="K12" s="57"/>
      <c r="L12" s="57"/>
      <c r="M12" s="57"/>
    </row>
    <row r="13" spans="1:13" s="6" customFormat="1" ht="12.75">
      <c r="A13" s="8" t="s">
        <v>41</v>
      </c>
      <c r="B13" s="56">
        <v>0</v>
      </c>
      <c r="C13" s="56">
        <v>0</v>
      </c>
      <c r="D13" s="56">
        <v>0</v>
      </c>
      <c r="E13" s="57">
        <v>0</v>
      </c>
      <c r="F13" s="57"/>
      <c r="G13" s="57"/>
      <c r="H13" s="57"/>
      <c r="I13" s="57"/>
      <c r="J13" s="57"/>
      <c r="K13" s="57"/>
      <c r="L13" s="57"/>
      <c r="M13" s="57"/>
    </row>
    <row r="14" spans="1:13" s="6" customFormat="1" ht="25.5">
      <c r="A14" s="8" t="s">
        <v>42</v>
      </c>
      <c r="B14" s="56">
        <v>0</v>
      </c>
      <c r="C14" s="56">
        <v>0</v>
      </c>
      <c r="D14" s="56">
        <v>0</v>
      </c>
      <c r="E14" s="57">
        <v>0</v>
      </c>
      <c r="F14" s="57"/>
      <c r="G14" s="57"/>
      <c r="H14" s="57"/>
      <c r="I14" s="57"/>
      <c r="J14" s="57"/>
      <c r="K14" s="57"/>
      <c r="L14" s="57"/>
      <c r="M14" s="57"/>
    </row>
    <row r="15" spans="1:13" s="6" customFormat="1" ht="12.75">
      <c r="A15" s="9" t="s">
        <v>43</v>
      </c>
      <c r="B15" s="56">
        <v>912.6</v>
      </c>
      <c r="C15" s="56">
        <v>0</v>
      </c>
      <c r="D15" s="56">
        <v>1811.9</v>
      </c>
      <c r="E15" s="57">
        <v>0</v>
      </c>
      <c r="F15" s="56">
        <f>389.35+133</f>
        <v>522.35</v>
      </c>
      <c r="G15" s="56">
        <v>343.55</v>
      </c>
      <c r="H15" s="56">
        <v>271.39999999999998</v>
      </c>
      <c r="I15" s="56"/>
      <c r="J15" s="56"/>
      <c r="K15" s="56"/>
      <c r="L15" s="56"/>
      <c r="M15" s="56"/>
    </row>
    <row r="16" spans="1:13" ht="25.5">
      <c r="A16" s="8" t="s">
        <v>44</v>
      </c>
      <c r="B16" s="56">
        <v>0</v>
      </c>
      <c r="C16" s="56">
        <v>0</v>
      </c>
      <c r="D16" s="56">
        <v>0</v>
      </c>
      <c r="E16" s="57">
        <v>0</v>
      </c>
      <c r="F16" s="57"/>
      <c r="G16" s="57"/>
      <c r="H16" s="57"/>
      <c r="I16" s="57"/>
      <c r="J16" s="57"/>
      <c r="K16" s="57"/>
      <c r="L16" s="57"/>
      <c r="M16" s="57"/>
    </row>
    <row r="17" spans="1:13" ht="12.75">
      <c r="A17" s="8" t="s">
        <v>45</v>
      </c>
      <c r="B17" s="56">
        <v>0</v>
      </c>
      <c r="C17" s="56">
        <v>0</v>
      </c>
      <c r="D17" s="56">
        <v>0</v>
      </c>
      <c r="E17" s="57">
        <v>0</v>
      </c>
      <c r="F17" s="57"/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0</v>
      </c>
      <c r="C18" s="59">
        <v>0</v>
      </c>
      <c r="D18" s="59">
        <v>0</v>
      </c>
      <c r="E18" s="57">
        <v>0</v>
      </c>
      <c r="F18" s="56"/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>
        <f>SUM(B5:B18)</f>
        <v>912.6</v>
      </c>
      <c r="C19" s="44" t="s">
        <v>55</v>
      </c>
      <c r="D19" s="44">
        <f t="shared" ref="D19:M19" si="0">SUM(D5:D18)</f>
        <v>1811.9</v>
      </c>
      <c r="E19" s="44">
        <f t="shared" si="0"/>
        <v>1497.18</v>
      </c>
      <c r="F19" s="44">
        <f t="shared" si="0"/>
        <v>2255</v>
      </c>
      <c r="G19" s="44">
        <f t="shared" si="0"/>
        <v>1939.1499999999999</v>
      </c>
      <c r="H19" s="44">
        <f t="shared" si="0"/>
        <v>1888.2400000000002</v>
      </c>
      <c r="I19" s="44">
        <f t="shared" si="0"/>
        <v>0</v>
      </c>
      <c r="J19" s="44">
        <f t="shared" si="0"/>
        <v>0</v>
      </c>
      <c r="K19" s="44">
        <f t="shared" si="0"/>
        <v>0</v>
      </c>
      <c r="L19" s="44">
        <f t="shared" si="0"/>
        <v>0</v>
      </c>
      <c r="M19" s="44">
        <f t="shared" si="0"/>
        <v>0</v>
      </c>
    </row>
    <row r="20" spans="1:13" ht="13.5" thickBot="1">
      <c r="A20" s="60" t="s">
        <v>24</v>
      </c>
      <c r="B20" s="45">
        <v>321.3</v>
      </c>
      <c r="C20" s="56"/>
      <c r="D20" s="56">
        <v>283.5</v>
      </c>
      <c r="E20" s="56">
        <v>36.97</v>
      </c>
      <c r="F20" s="56"/>
      <c r="G20" s="56"/>
      <c r="H20" s="56">
        <v>26.67</v>
      </c>
      <c r="I20" s="56"/>
      <c r="J20" s="56"/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f>B19-B20</f>
        <v>591.29999999999995</v>
      </c>
      <c r="C21" s="44">
        <v>0</v>
      </c>
      <c r="D21" s="44">
        <f t="shared" ref="D21:M21" si="1">D19-D20</f>
        <v>1528.4</v>
      </c>
      <c r="E21" s="44">
        <f t="shared" si="1"/>
        <v>1460.21</v>
      </c>
      <c r="F21" s="44">
        <f t="shared" si="1"/>
        <v>2255</v>
      </c>
      <c r="G21" s="44">
        <f t="shared" si="1"/>
        <v>1939.1499999999999</v>
      </c>
      <c r="H21" s="44">
        <f t="shared" si="1"/>
        <v>1861.5700000000002</v>
      </c>
      <c r="I21" s="44">
        <f t="shared" si="1"/>
        <v>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>
      <c r="A22" s="60" t="s">
        <v>18</v>
      </c>
      <c r="B22" s="61">
        <f>AVERAGE(B21)</f>
        <v>591.29999999999995</v>
      </c>
      <c r="C22" s="61">
        <f>AVERAGE(B21:C21)</f>
        <v>295.64999999999998</v>
      </c>
      <c r="D22" s="61">
        <f>AVERAGE(B21:D21)</f>
        <v>706.56666666666661</v>
      </c>
      <c r="E22" s="61">
        <f>AVERAGE(B21:E21)</f>
        <v>894.97749999999996</v>
      </c>
      <c r="F22" s="61">
        <f>AVERAGE(B21:F21)</f>
        <v>1166.982</v>
      </c>
      <c r="G22" s="61">
        <f>AVERAGE(B21:G21)</f>
        <v>1295.6766666666665</v>
      </c>
      <c r="H22" s="61">
        <f>AVERAGE(B21:H21)</f>
        <v>1376.5185714285712</v>
      </c>
      <c r="I22" s="61"/>
      <c r="J22" s="61"/>
      <c r="K22" s="61"/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M24"/>
  <sheetViews>
    <sheetView topLeftCell="A4" zoomScaleNormal="100" workbookViewId="0">
      <selection activeCell="H21" sqref="H21"/>
    </sheetView>
  </sheetViews>
  <sheetFormatPr defaultRowHeight="12.75"/>
  <cols>
    <col min="1" max="1" width="68.140625" style="33" customWidth="1"/>
    <col min="2" max="3" width="9" style="26" bestFit="1" customWidth="1"/>
    <col min="4" max="4" width="9.140625" style="27" bestFit="1" customWidth="1"/>
    <col min="5" max="8" width="9" style="27" bestFit="1" customWidth="1"/>
    <col min="9" max="9" width="8" style="27" bestFit="1" customWidth="1"/>
    <col min="10" max="11" width="7.85546875" style="27" bestFit="1" customWidth="1"/>
    <col min="12" max="12" width="8.42578125" style="27" customWidth="1"/>
    <col min="13" max="13" width="7.5703125" style="27" customWidth="1"/>
    <col min="14" max="16384" width="9.140625" style="29"/>
  </cols>
  <sheetData>
    <row r="1" spans="1:13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69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>
      <c r="A12" s="8" t="s">
        <v>40</v>
      </c>
      <c r="B12" s="56">
        <v>0</v>
      </c>
      <c r="C12" s="56">
        <v>0</v>
      </c>
      <c r="D12" s="56">
        <v>0</v>
      </c>
      <c r="E12" s="57">
        <v>4600</v>
      </c>
      <c r="F12" s="57">
        <v>4753.33</v>
      </c>
      <c r="G12" s="57">
        <v>4599.8999999999996</v>
      </c>
      <c r="H12" s="57">
        <v>4753.2299999999996</v>
      </c>
      <c r="I12" s="58"/>
      <c r="J12" s="57"/>
      <c r="K12" s="57"/>
      <c r="L12" s="57"/>
      <c r="M12" s="57"/>
    </row>
    <row r="13" spans="1:13" s="31" customFormat="1">
      <c r="A13" s="8" t="s">
        <v>41</v>
      </c>
      <c r="B13" s="56">
        <v>0</v>
      </c>
      <c r="C13" s="56">
        <v>0</v>
      </c>
      <c r="D13" s="56">
        <v>0</v>
      </c>
      <c r="E13" s="56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>
      <c r="A14" s="8" t="s">
        <v>42</v>
      </c>
      <c r="B14" s="56">
        <v>0</v>
      </c>
      <c r="C14" s="56">
        <v>0</v>
      </c>
      <c r="D14" s="56">
        <v>0</v>
      </c>
      <c r="E14" s="56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>
      <c r="A15" s="9" t="s">
        <v>43</v>
      </c>
      <c r="B15" s="56">
        <v>0</v>
      </c>
      <c r="C15" s="56">
        <v>0</v>
      </c>
      <c r="D15" s="56">
        <v>68</v>
      </c>
      <c r="E15" s="56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>
      <c r="A16" s="8" t="s">
        <v>44</v>
      </c>
      <c r="B16" s="56">
        <v>0</v>
      </c>
      <c r="C16" s="56">
        <v>0</v>
      </c>
      <c r="D16" s="56">
        <v>0</v>
      </c>
      <c r="E16" s="56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>
        <v>0</v>
      </c>
      <c r="C17" s="56">
        <v>0</v>
      </c>
      <c r="D17" s="56">
        <v>0</v>
      </c>
      <c r="E17" s="56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0</v>
      </c>
      <c r="C18" s="56">
        <v>1300</v>
      </c>
      <c r="D18" s="56">
        <v>0</v>
      </c>
      <c r="E18" s="56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 t="s">
        <v>55</v>
      </c>
      <c r="C19" s="44">
        <f t="shared" ref="C19:H19" si="0">SUM(C5:C18)</f>
        <v>1300</v>
      </c>
      <c r="D19" s="44">
        <f t="shared" si="0"/>
        <v>68</v>
      </c>
      <c r="E19" s="44">
        <f t="shared" si="0"/>
        <v>4600</v>
      </c>
      <c r="F19" s="44">
        <f t="shared" si="0"/>
        <v>4753.33</v>
      </c>
      <c r="G19" s="44">
        <f t="shared" si="0"/>
        <v>4599.8999999999996</v>
      </c>
      <c r="H19" s="44">
        <f t="shared" si="0"/>
        <v>4753.2299999999996</v>
      </c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0</v>
      </c>
      <c r="C20" s="56">
        <v>550</v>
      </c>
      <c r="D20" s="56">
        <v>0</v>
      </c>
      <c r="E20" s="56">
        <v>0</v>
      </c>
      <c r="F20" s="56">
        <v>153.33000000000001</v>
      </c>
      <c r="G20" s="56"/>
      <c r="H20" s="56">
        <v>153.22999999999999</v>
      </c>
      <c r="I20" s="56"/>
      <c r="J20" s="56"/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v>0</v>
      </c>
      <c r="C21" s="44">
        <f t="shared" ref="C21:M21" si="1">C19-C20</f>
        <v>750</v>
      </c>
      <c r="D21" s="44">
        <f t="shared" si="1"/>
        <v>68</v>
      </c>
      <c r="E21" s="44">
        <f t="shared" si="1"/>
        <v>4600</v>
      </c>
      <c r="F21" s="44">
        <f t="shared" si="1"/>
        <v>4600</v>
      </c>
      <c r="G21" s="44">
        <f t="shared" si="1"/>
        <v>4599.8999999999996</v>
      </c>
      <c r="H21" s="44">
        <f t="shared" si="1"/>
        <v>4600</v>
      </c>
      <c r="I21" s="44">
        <f t="shared" si="1"/>
        <v>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>
      <c r="A22" s="60" t="s">
        <v>18</v>
      </c>
      <c r="B22" s="61">
        <f>AVERAGE(B21)</f>
        <v>0</v>
      </c>
      <c r="C22" s="61">
        <f>AVERAGE(B21:C21)</f>
        <v>375</v>
      </c>
      <c r="D22" s="61">
        <f>AVERAGE(B21:D21)</f>
        <v>272.66666666666669</v>
      </c>
      <c r="E22" s="61">
        <f>AVERAGE(B21:E21)</f>
        <v>1354.5</v>
      </c>
      <c r="F22" s="61">
        <f>AVERAGE(B21:F21)</f>
        <v>2003.6</v>
      </c>
      <c r="G22" s="61">
        <f>AVERAGE(B21:G21)</f>
        <v>2436.3166666666666</v>
      </c>
      <c r="H22" s="61">
        <f>AVERAGE(B21:H21)</f>
        <v>2745.4142857142861</v>
      </c>
      <c r="I22" s="61"/>
      <c r="J22" s="61"/>
      <c r="K22" s="61"/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24"/>
  <sheetViews>
    <sheetView topLeftCell="A10" zoomScaleNormal="100" workbookViewId="0">
      <selection activeCell="H27" sqref="H27"/>
    </sheetView>
  </sheetViews>
  <sheetFormatPr defaultRowHeight="12.75"/>
  <cols>
    <col min="1" max="1" width="63" style="33" customWidth="1"/>
    <col min="2" max="3" width="9" style="26" bestFit="1" customWidth="1"/>
    <col min="4" max="8" width="9" style="27" bestFit="1" customWidth="1"/>
    <col min="9" max="10" width="7.85546875" style="27" bestFit="1" customWidth="1"/>
    <col min="11" max="11" width="7.7109375" style="27" customWidth="1"/>
    <col min="12" max="12" width="9.42578125" style="27" customWidth="1"/>
    <col min="13" max="13" width="10.140625" style="27" customWidth="1"/>
    <col min="14" max="16384" width="9.140625" style="29"/>
  </cols>
  <sheetData>
    <row r="1" spans="1:14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4" ht="21.75" thickBot="1">
      <c r="A2" s="69" t="s">
        <v>70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4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4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4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4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4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4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4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4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4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4" s="34" customFormat="1">
      <c r="A12" s="8" t="s">
        <v>40</v>
      </c>
      <c r="B12" s="56">
        <v>0</v>
      </c>
      <c r="C12" s="56">
        <v>1988</v>
      </c>
      <c r="D12" s="56">
        <v>1988</v>
      </c>
      <c r="E12" s="56">
        <v>1988</v>
      </c>
      <c r="F12" s="57">
        <v>2201</v>
      </c>
      <c r="G12" s="57">
        <v>2130</v>
      </c>
      <c r="H12" s="57">
        <v>2130</v>
      </c>
      <c r="I12" s="58"/>
      <c r="J12" s="57"/>
      <c r="K12" s="57"/>
      <c r="L12" s="57"/>
      <c r="M12" s="57"/>
      <c r="N12" s="41"/>
    </row>
    <row r="13" spans="1:14" s="31" customFormat="1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7">
        <v>0</v>
      </c>
      <c r="G13" s="57"/>
      <c r="H13" s="57"/>
      <c r="I13" s="57"/>
      <c r="J13" s="57"/>
      <c r="K13" s="57"/>
      <c r="L13" s="57"/>
      <c r="M13" s="57"/>
    </row>
    <row r="14" spans="1:14" s="34" customFormat="1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7">
        <v>0</v>
      </c>
      <c r="G14" s="57"/>
      <c r="H14" s="57"/>
      <c r="I14" s="57"/>
      <c r="J14" s="57"/>
      <c r="K14" s="57"/>
      <c r="L14" s="57"/>
      <c r="M14" s="57"/>
    </row>
    <row r="15" spans="1:14" s="31" customFormat="1">
      <c r="A15" s="9" t="s">
        <v>43</v>
      </c>
      <c r="B15" s="56">
        <v>1977</v>
      </c>
      <c r="C15" s="56">
        <v>0</v>
      </c>
      <c r="D15" s="56">
        <v>0</v>
      </c>
      <c r="E15" s="56">
        <v>0</v>
      </c>
      <c r="F15" s="56">
        <v>2399</v>
      </c>
      <c r="G15" s="56"/>
      <c r="H15" s="56">
        <v>2400</v>
      </c>
      <c r="I15" s="56"/>
      <c r="J15" s="56"/>
      <c r="K15" s="56"/>
      <c r="L15" s="56"/>
      <c r="M15" s="56"/>
    </row>
    <row r="16" spans="1:14" s="31" customFormat="1">
      <c r="A16" s="8" t="s">
        <v>44</v>
      </c>
      <c r="B16" s="56">
        <v>0</v>
      </c>
      <c r="C16" s="56">
        <v>0</v>
      </c>
      <c r="D16" s="56">
        <v>0</v>
      </c>
      <c r="E16" s="57">
        <v>0</v>
      </c>
      <c r="F16" s="57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>
        <v>0</v>
      </c>
      <c r="C17" s="56">
        <v>0</v>
      </c>
      <c r="D17" s="56">
        <v>0</v>
      </c>
      <c r="E17" s="57">
        <v>0</v>
      </c>
      <c r="F17" s="57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0</v>
      </c>
      <c r="C18" s="59">
        <v>0</v>
      </c>
      <c r="D18" s="59">
        <v>0</v>
      </c>
      <c r="E18" s="56">
        <v>0</v>
      </c>
      <c r="F18" s="56">
        <v>0</v>
      </c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>
        <f t="shared" ref="B19:H19" si="0">SUM(B5:B18)</f>
        <v>1977</v>
      </c>
      <c r="C19" s="44">
        <f t="shared" si="0"/>
        <v>1988</v>
      </c>
      <c r="D19" s="44">
        <f t="shared" si="0"/>
        <v>1988</v>
      </c>
      <c r="E19" s="44">
        <f t="shared" si="0"/>
        <v>1988</v>
      </c>
      <c r="F19" s="44">
        <f t="shared" si="0"/>
        <v>4600</v>
      </c>
      <c r="G19" s="44">
        <f t="shared" si="0"/>
        <v>2130</v>
      </c>
      <c r="H19" s="44">
        <f t="shared" si="0"/>
        <v>4530</v>
      </c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0</v>
      </c>
      <c r="C20" s="56">
        <v>0</v>
      </c>
      <c r="D20" s="56">
        <v>0</v>
      </c>
      <c r="E20" s="56">
        <v>0</v>
      </c>
      <c r="F20" s="56">
        <v>184</v>
      </c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f>B19-B20</f>
        <v>1977</v>
      </c>
      <c r="C21" s="44">
        <f t="shared" ref="C21:M21" si="1">C19-C20</f>
        <v>1988</v>
      </c>
      <c r="D21" s="44">
        <f t="shared" si="1"/>
        <v>1988</v>
      </c>
      <c r="E21" s="44">
        <f t="shared" si="1"/>
        <v>1988</v>
      </c>
      <c r="F21" s="44">
        <f t="shared" si="1"/>
        <v>4416</v>
      </c>
      <c r="G21" s="44">
        <f t="shared" si="1"/>
        <v>2130</v>
      </c>
      <c r="H21" s="44">
        <f t="shared" si="1"/>
        <v>4530</v>
      </c>
      <c r="I21" s="44">
        <f t="shared" si="1"/>
        <v>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>
      <c r="A22" s="60" t="s">
        <v>18</v>
      </c>
      <c r="B22" s="61">
        <f>AVERAGE(B21)</f>
        <v>1977</v>
      </c>
      <c r="C22" s="61">
        <f>AVERAGE(B21:C21)</f>
        <v>1982.5</v>
      </c>
      <c r="D22" s="61">
        <f>AVERAGE(B21:D21)</f>
        <v>1984.3333333333333</v>
      </c>
      <c r="E22" s="61">
        <f>AVERAGE(C21:E21)</f>
        <v>1988</v>
      </c>
      <c r="F22" s="61">
        <f>AVERAGE(B21:F21)</f>
        <v>2471.4</v>
      </c>
      <c r="G22" s="61">
        <f>AVERAGE(B21:G21)</f>
        <v>2414.5</v>
      </c>
      <c r="H22" s="61">
        <f>AVERAGE(B21:H21)</f>
        <v>2716.7142857142858</v>
      </c>
      <c r="I22" s="61"/>
      <c r="J22" s="61"/>
      <c r="K22" s="61"/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M24"/>
  <sheetViews>
    <sheetView topLeftCell="A7" zoomScaleNormal="100" workbookViewId="0">
      <selection activeCell="K24" sqref="K24"/>
    </sheetView>
  </sheetViews>
  <sheetFormatPr defaultRowHeight="12.75"/>
  <cols>
    <col min="1" max="1" width="67.85546875" style="33" customWidth="1"/>
    <col min="2" max="2" width="10.140625" style="26" customWidth="1"/>
    <col min="3" max="3" width="9" style="26" bestFit="1" customWidth="1"/>
    <col min="4" max="8" width="9" style="27" bestFit="1" customWidth="1"/>
    <col min="9" max="12" width="7.85546875" style="27" bestFit="1" customWidth="1"/>
    <col min="13" max="13" width="9" style="27" customWidth="1"/>
    <col min="14" max="16384" width="9.140625" style="29"/>
  </cols>
  <sheetData>
    <row r="1" spans="1:13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71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>
      <c r="A12" s="8" t="s">
        <v>40</v>
      </c>
      <c r="B12" s="56">
        <v>0</v>
      </c>
      <c r="C12" s="56">
        <v>0</v>
      </c>
      <c r="D12" s="57">
        <v>1767</v>
      </c>
      <c r="E12" s="57">
        <v>4350</v>
      </c>
      <c r="F12" s="57">
        <v>5115</v>
      </c>
      <c r="G12" s="57">
        <v>6000</v>
      </c>
      <c r="H12" s="57">
        <v>6000</v>
      </c>
      <c r="I12" s="58"/>
      <c r="J12" s="57"/>
      <c r="K12" s="57"/>
      <c r="L12" s="57"/>
      <c r="M12" s="57"/>
    </row>
    <row r="13" spans="1:13" s="31" customFormat="1">
      <c r="A13" s="8" t="s">
        <v>41</v>
      </c>
      <c r="B13" s="56">
        <v>0</v>
      </c>
      <c r="C13" s="56">
        <v>0</v>
      </c>
      <c r="D13" s="56">
        <v>0</v>
      </c>
      <c r="E13" s="56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>
      <c r="A14" s="8" t="s">
        <v>42</v>
      </c>
      <c r="B14" s="56">
        <v>0</v>
      </c>
      <c r="C14" s="56">
        <v>0</v>
      </c>
      <c r="D14" s="56">
        <v>0</v>
      </c>
      <c r="E14" s="56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>
      <c r="A15" s="9" t="s">
        <v>43</v>
      </c>
      <c r="B15" s="56">
        <f>1131.9+358.8</f>
        <v>1490.7</v>
      </c>
      <c r="C15" s="56">
        <v>1596</v>
      </c>
      <c r="D15" s="56">
        <v>206.4</v>
      </c>
      <c r="E15" s="56">
        <f>234.9+55</f>
        <v>289.89999999999998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>
      <c r="A16" s="8" t="s">
        <v>44</v>
      </c>
      <c r="B16" s="56">
        <v>0</v>
      </c>
      <c r="C16" s="56">
        <v>0</v>
      </c>
      <c r="D16" s="56">
        <v>0</v>
      </c>
      <c r="E16" s="56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>
        <v>0</v>
      </c>
      <c r="C17" s="56">
        <v>0</v>
      </c>
      <c r="D17" s="56">
        <v>0</v>
      </c>
      <c r="E17" s="56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f>183+260</f>
        <v>443</v>
      </c>
      <c r="C18" s="56">
        <v>300</v>
      </c>
      <c r="D18" s="56">
        <v>0</v>
      </c>
      <c r="E18" s="56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>
        <f t="shared" ref="B19:H19" si="0">SUM(B5:B18)</f>
        <v>1933.7</v>
      </c>
      <c r="C19" s="44">
        <f t="shared" si="0"/>
        <v>1896</v>
      </c>
      <c r="D19" s="44">
        <f t="shared" si="0"/>
        <v>1973.4</v>
      </c>
      <c r="E19" s="44">
        <f t="shared" si="0"/>
        <v>4639.8999999999996</v>
      </c>
      <c r="F19" s="44">
        <f t="shared" si="0"/>
        <v>5115</v>
      </c>
      <c r="G19" s="44">
        <f t="shared" si="0"/>
        <v>6000</v>
      </c>
      <c r="H19" s="44">
        <f t="shared" si="0"/>
        <v>6000</v>
      </c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475.8</v>
      </c>
      <c r="C20" s="56">
        <v>0</v>
      </c>
      <c r="D20" s="56">
        <v>0</v>
      </c>
      <c r="E20" s="56">
        <v>55</v>
      </c>
      <c r="F20" s="56">
        <v>515</v>
      </c>
      <c r="G20" s="56">
        <v>1400</v>
      </c>
      <c r="H20" s="56">
        <v>1400</v>
      </c>
      <c r="I20" s="56"/>
      <c r="J20" s="56"/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f>B19-B20</f>
        <v>1457.9</v>
      </c>
      <c r="C21" s="44">
        <f t="shared" ref="C21:M21" si="1">C19-C20</f>
        <v>1896</v>
      </c>
      <c r="D21" s="44">
        <f t="shared" si="1"/>
        <v>1973.4</v>
      </c>
      <c r="E21" s="44">
        <f t="shared" si="1"/>
        <v>4584.8999999999996</v>
      </c>
      <c r="F21" s="44">
        <f t="shared" si="1"/>
        <v>4600</v>
      </c>
      <c r="G21" s="44">
        <f t="shared" si="1"/>
        <v>4600</v>
      </c>
      <c r="H21" s="44">
        <f t="shared" si="1"/>
        <v>4600</v>
      </c>
      <c r="I21" s="44">
        <f t="shared" si="1"/>
        <v>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>
      <c r="A22" s="60" t="s">
        <v>18</v>
      </c>
      <c r="B22" s="61">
        <f>AVERAGE(B21)</f>
        <v>1457.9</v>
      </c>
      <c r="C22" s="61">
        <f>AVERAGE(B21:C21)</f>
        <v>1676.95</v>
      </c>
      <c r="D22" s="61">
        <f>AVERAGE(B21:D21)</f>
        <v>1775.7666666666667</v>
      </c>
      <c r="E22" s="61">
        <f>AVERAGE(B21:E21)</f>
        <v>2478.0500000000002</v>
      </c>
      <c r="F22" s="61">
        <f>AVERAGE(B21:F21)</f>
        <v>2902.44</v>
      </c>
      <c r="G22" s="61">
        <f>AVERAGE(B21:G21)</f>
        <v>3185.3666666666668</v>
      </c>
      <c r="H22" s="61">
        <f>AVERAGE(B21:H21)</f>
        <v>3387.457142857143</v>
      </c>
      <c r="I22" s="61"/>
      <c r="J22" s="61"/>
      <c r="K22" s="61"/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N24"/>
  <sheetViews>
    <sheetView topLeftCell="A4" zoomScaleNormal="100" workbookViewId="0">
      <selection activeCell="J15" sqref="J15"/>
    </sheetView>
  </sheetViews>
  <sheetFormatPr defaultRowHeight="12.75"/>
  <cols>
    <col min="1" max="1" width="59.5703125" style="33" customWidth="1"/>
    <col min="2" max="2" width="9.7109375" style="26" customWidth="1"/>
    <col min="3" max="3" width="9" style="26" bestFit="1" customWidth="1"/>
    <col min="4" max="6" width="9" style="27" bestFit="1" customWidth="1"/>
    <col min="7" max="8" width="9.5703125" style="27" bestFit="1" customWidth="1"/>
    <col min="9" max="9" width="7.85546875" style="27" bestFit="1" customWidth="1"/>
    <col min="10" max="10" width="7.85546875" style="27" customWidth="1"/>
    <col min="11" max="12" width="7.85546875" style="27" bestFit="1" customWidth="1"/>
    <col min="13" max="13" width="8.5703125" style="27" customWidth="1"/>
    <col min="14" max="16384" width="9.140625" style="29"/>
  </cols>
  <sheetData>
    <row r="1" spans="1:14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4" ht="21.75" thickBot="1">
      <c r="A2" s="69" t="s">
        <v>72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4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4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4">
      <c r="A5" s="7" t="s">
        <v>33</v>
      </c>
      <c r="B5" s="54">
        <v>0</v>
      </c>
      <c r="C5" s="54">
        <v>0</v>
      </c>
      <c r="D5" s="54">
        <v>0</v>
      </c>
      <c r="E5" s="54">
        <v>1584.26</v>
      </c>
      <c r="F5" s="54">
        <v>1584.26</v>
      </c>
      <c r="G5" s="54">
        <v>1743.21</v>
      </c>
      <c r="H5" s="54">
        <v>1500</v>
      </c>
      <c r="I5" s="54"/>
      <c r="J5" s="54"/>
      <c r="K5" s="54"/>
      <c r="L5" s="54"/>
      <c r="M5" s="54"/>
    </row>
    <row r="6" spans="1:14">
      <c r="A6" s="55" t="s">
        <v>34</v>
      </c>
      <c r="B6" s="54">
        <v>0</v>
      </c>
      <c r="C6" s="54">
        <v>0</v>
      </c>
      <c r="D6" s="54">
        <v>0</v>
      </c>
      <c r="E6" s="54">
        <v>469.16</v>
      </c>
      <c r="F6" s="54">
        <v>469.16</v>
      </c>
      <c r="G6" s="54">
        <v>469.16</v>
      </c>
      <c r="H6" s="54">
        <v>469.16</v>
      </c>
      <c r="I6" s="54"/>
      <c r="J6" s="54"/>
      <c r="K6" s="54"/>
      <c r="L6" s="54"/>
      <c r="M6" s="54"/>
    </row>
    <row r="7" spans="1:14">
      <c r="A7" s="55" t="s">
        <v>35</v>
      </c>
      <c r="B7" s="54">
        <v>0</v>
      </c>
      <c r="C7" s="54">
        <v>0</v>
      </c>
      <c r="D7" s="54">
        <v>0</v>
      </c>
      <c r="E7" s="54">
        <f>202.55+20.82</f>
        <v>223.37</v>
      </c>
      <c r="F7" s="54">
        <v>411.91</v>
      </c>
      <c r="G7" s="54">
        <v>630.29</v>
      </c>
      <c r="H7" s="54">
        <v>460.12</v>
      </c>
      <c r="I7" s="54"/>
      <c r="J7" s="54"/>
      <c r="K7" s="54"/>
      <c r="L7" s="54"/>
      <c r="M7" s="54"/>
    </row>
    <row r="8" spans="1:14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4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>
        <f>80.36+3.9</f>
        <v>84.26</v>
      </c>
      <c r="I9" s="54"/>
      <c r="J9" s="54"/>
      <c r="K9" s="54"/>
      <c r="L9" s="54"/>
      <c r="M9" s="54"/>
    </row>
    <row r="10" spans="1:14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338.28</v>
      </c>
      <c r="G10" s="54">
        <v>748.94</v>
      </c>
      <c r="H10" s="54">
        <v>637.1</v>
      </c>
      <c r="I10" s="54"/>
      <c r="J10" s="54"/>
      <c r="K10" s="54"/>
      <c r="L10" s="54"/>
      <c r="M10" s="54"/>
    </row>
    <row r="11" spans="1:14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6"/>
      <c r="G11" s="56"/>
      <c r="H11" s="56"/>
      <c r="I11" s="56"/>
      <c r="J11" s="56"/>
      <c r="K11" s="56"/>
      <c r="L11" s="56"/>
      <c r="M11" s="56"/>
    </row>
    <row r="12" spans="1:14" s="34" customFormat="1">
      <c r="A12" s="8" t="s">
        <v>40</v>
      </c>
      <c r="B12" s="56">
        <v>0</v>
      </c>
      <c r="C12" s="56">
        <v>0</v>
      </c>
      <c r="D12" s="56">
        <v>0</v>
      </c>
      <c r="E12" s="54">
        <v>0</v>
      </c>
      <c r="F12" s="57"/>
      <c r="G12" s="57"/>
      <c r="H12" s="57"/>
      <c r="I12" s="58"/>
      <c r="J12" s="57"/>
      <c r="K12" s="57"/>
      <c r="L12" s="57"/>
      <c r="M12" s="57"/>
    </row>
    <row r="13" spans="1:14" s="31" customFormat="1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7"/>
      <c r="G13" s="57"/>
      <c r="H13" s="57"/>
      <c r="I13" s="57"/>
      <c r="J13" s="57"/>
      <c r="K13" s="57"/>
      <c r="L13" s="57"/>
      <c r="M13" s="57"/>
    </row>
    <row r="14" spans="1:14" s="34" customFormat="1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7"/>
      <c r="G14" s="57"/>
      <c r="H14" s="57"/>
      <c r="I14" s="57"/>
      <c r="J14" s="57"/>
      <c r="K14" s="57"/>
      <c r="L14" s="57"/>
      <c r="M14" s="57"/>
    </row>
    <row r="15" spans="1:14" s="31" customFormat="1">
      <c r="A15" s="9" t="s">
        <v>43</v>
      </c>
      <c r="B15" s="56">
        <f>59+780.57+19.8+62.08</f>
        <v>921.45</v>
      </c>
      <c r="C15" s="56">
        <v>1042.4100000000001</v>
      </c>
      <c r="D15" s="56">
        <v>1920.23</v>
      </c>
      <c r="E15" s="56">
        <v>246.79</v>
      </c>
      <c r="F15" s="56">
        <v>180.01</v>
      </c>
      <c r="G15" s="56"/>
      <c r="H15" s="56">
        <v>112.48</v>
      </c>
      <c r="I15" s="56"/>
      <c r="J15" s="56"/>
      <c r="K15" s="56"/>
      <c r="L15" s="56"/>
      <c r="M15" s="56"/>
    </row>
    <row r="16" spans="1:14" s="31" customFormat="1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7"/>
      <c r="G16" s="57"/>
      <c r="H16" s="57"/>
      <c r="I16" s="57"/>
      <c r="J16" s="57"/>
      <c r="K16" s="57"/>
      <c r="L16" s="57"/>
      <c r="M16" s="57"/>
      <c r="N16" s="6"/>
    </row>
    <row r="17" spans="1:13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7"/>
      <c r="G17" s="57"/>
      <c r="H17" s="57"/>
      <c r="I17" s="57"/>
      <c r="J17" s="57"/>
      <c r="K17" s="57"/>
      <c r="L17" s="57"/>
      <c r="M17" s="57"/>
    </row>
    <row r="18" spans="1:13" ht="13.5" thickBot="1">
      <c r="A18" s="8" t="s">
        <v>46</v>
      </c>
      <c r="B18" s="56">
        <v>900</v>
      </c>
      <c r="C18" s="56">
        <v>900</v>
      </c>
      <c r="D18" s="57">
        <v>0</v>
      </c>
      <c r="E18" s="54">
        <v>0</v>
      </c>
      <c r="F18" s="57"/>
      <c r="G18" s="57"/>
      <c r="H18" s="57"/>
      <c r="I18" s="57"/>
      <c r="J18" s="57"/>
      <c r="K18" s="57"/>
      <c r="L18" s="57"/>
      <c r="M18" s="57"/>
    </row>
    <row r="19" spans="1:13" ht="13.5" thickBot="1">
      <c r="A19" s="43" t="s">
        <v>47</v>
      </c>
      <c r="B19" s="44">
        <f t="shared" ref="B19:F19" si="0">SUM(B5:B18)</f>
        <v>1821.45</v>
      </c>
      <c r="C19" s="44">
        <f t="shared" si="0"/>
        <v>1942.41</v>
      </c>
      <c r="D19" s="44">
        <f t="shared" si="0"/>
        <v>1920.23</v>
      </c>
      <c r="E19" s="44">
        <f t="shared" si="0"/>
        <v>2523.58</v>
      </c>
      <c r="F19" s="44">
        <f t="shared" si="0"/>
        <v>2983.62</v>
      </c>
      <c r="G19" s="44">
        <f>SUM(G5:G18)</f>
        <v>3591.6</v>
      </c>
      <c r="H19" s="44">
        <f>SUM(H5:H18)</f>
        <v>3263.1200000000003</v>
      </c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59</v>
      </c>
      <c r="C20" s="56">
        <v>279.97000000000003</v>
      </c>
      <c r="D20" s="56">
        <v>690.11</v>
      </c>
      <c r="E20" s="56">
        <v>0</v>
      </c>
      <c r="F20" s="56">
        <v>0</v>
      </c>
      <c r="G20" s="56">
        <v>161.88999999999999</v>
      </c>
      <c r="H20" s="56">
        <v>11.9</v>
      </c>
      <c r="I20" s="56"/>
      <c r="J20" s="56"/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f>B19-B20</f>
        <v>1762.45</v>
      </c>
      <c r="C21" s="44">
        <f t="shared" ref="C21:M21" si="1">C19-C20</f>
        <v>1662.44</v>
      </c>
      <c r="D21" s="44">
        <f>D19-D20</f>
        <v>1230.1199999999999</v>
      </c>
      <c r="E21" s="44">
        <f t="shared" si="1"/>
        <v>2523.58</v>
      </c>
      <c r="F21" s="44">
        <f t="shared" si="1"/>
        <v>2983.62</v>
      </c>
      <c r="G21" s="44">
        <f>G19-G20</f>
        <v>3429.71</v>
      </c>
      <c r="H21" s="44">
        <f>H19-H20</f>
        <v>3251.2200000000003</v>
      </c>
      <c r="I21" s="44">
        <f t="shared" si="1"/>
        <v>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>
      <c r="A22" s="60" t="s">
        <v>18</v>
      </c>
      <c r="B22" s="61">
        <f>AVERAGE(B21)</f>
        <v>1762.45</v>
      </c>
      <c r="C22" s="61">
        <f>AVERAGE(B21:C21)</f>
        <v>1712.4450000000002</v>
      </c>
      <c r="D22" s="61">
        <f>AVERAGE(B21:D21)</f>
        <v>1551.67</v>
      </c>
      <c r="E22" s="61">
        <f>AVERAGE(B21:E21)</f>
        <v>1794.6475</v>
      </c>
      <c r="F22" s="61">
        <f>AVERAGE(B21:F21)</f>
        <v>2032.4419999999998</v>
      </c>
      <c r="G22" s="61">
        <f>AVERAGE(B21:G21)</f>
        <v>2265.3199999999997</v>
      </c>
      <c r="H22" s="61">
        <f>AVERAGE(B21:H21)</f>
        <v>2406.1628571428569</v>
      </c>
      <c r="I22" s="61"/>
      <c r="J22" s="61"/>
      <c r="K22" s="61"/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M24"/>
  <sheetViews>
    <sheetView topLeftCell="A7" zoomScaleNormal="100" workbookViewId="0">
      <selection activeCell="H21" sqref="H21"/>
    </sheetView>
  </sheetViews>
  <sheetFormatPr defaultRowHeight="12.75"/>
  <cols>
    <col min="1" max="1" width="58.28515625" style="33" customWidth="1"/>
    <col min="2" max="2" width="9.7109375" style="26" customWidth="1"/>
    <col min="3" max="3" width="8.7109375" style="26" bestFit="1" customWidth="1"/>
    <col min="4" max="11" width="7.85546875" style="27" bestFit="1" customWidth="1"/>
    <col min="12" max="12" width="8.85546875" style="27" customWidth="1"/>
    <col min="13" max="13" width="8.5703125" style="27" customWidth="1"/>
    <col min="14" max="16384" width="9.140625" style="29"/>
  </cols>
  <sheetData>
    <row r="1" spans="1:13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73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203.07</v>
      </c>
      <c r="C10" s="54">
        <v>160.66999999999999</v>
      </c>
      <c r="D10" s="54">
        <v>196.45</v>
      </c>
      <c r="E10" s="54">
        <v>170.54</v>
      </c>
      <c r="F10" s="54">
        <v>180.44</v>
      </c>
      <c r="G10" s="54">
        <v>205.44</v>
      </c>
      <c r="H10" s="54">
        <v>277.49</v>
      </c>
      <c r="I10" s="54"/>
      <c r="J10" s="54"/>
      <c r="K10" s="54"/>
      <c r="L10" s="54"/>
      <c r="M10" s="54"/>
    </row>
    <row r="11" spans="1:13">
      <c r="A11" s="7" t="s">
        <v>39</v>
      </c>
      <c r="B11" s="56">
        <v>0</v>
      </c>
      <c r="C11" s="56">
        <v>0</v>
      </c>
      <c r="D11" s="56">
        <v>0</v>
      </c>
      <c r="E11" s="56">
        <v>0</v>
      </c>
      <c r="F11" s="56">
        <v>0</v>
      </c>
      <c r="G11" s="56"/>
      <c r="H11" s="56"/>
      <c r="I11" s="56"/>
      <c r="J11" s="56"/>
      <c r="K11" s="56"/>
      <c r="L11" s="56"/>
      <c r="M11" s="56"/>
    </row>
    <row r="12" spans="1:13" s="34" customFormat="1">
      <c r="A12" s="8" t="s">
        <v>40</v>
      </c>
      <c r="B12" s="56">
        <v>0</v>
      </c>
      <c r="C12" s="56">
        <v>0</v>
      </c>
      <c r="D12" s="56">
        <v>0</v>
      </c>
      <c r="E12" s="56">
        <v>0</v>
      </c>
      <c r="F12" s="56">
        <v>0</v>
      </c>
      <c r="G12" s="57"/>
      <c r="H12" s="57"/>
      <c r="I12" s="58"/>
      <c r="J12" s="57"/>
      <c r="K12" s="57"/>
      <c r="L12" s="57"/>
      <c r="M12" s="57"/>
    </row>
    <row r="13" spans="1:13" s="31" customFormat="1">
      <c r="A13" s="8" t="s">
        <v>41</v>
      </c>
      <c r="B13" s="56">
        <v>0</v>
      </c>
      <c r="C13" s="56">
        <v>0</v>
      </c>
      <c r="D13" s="56">
        <v>0</v>
      </c>
      <c r="E13" s="56">
        <v>0</v>
      </c>
      <c r="F13" s="56">
        <v>0</v>
      </c>
      <c r="G13" s="57"/>
      <c r="H13" s="57"/>
      <c r="I13" s="57"/>
      <c r="J13" s="57"/>
      <c r="K13" s="57"/>
      <c r="L13" s="57"/>
      <c r="M13" s="57"/>
    </row>
    <row r="14" spans="1:13" s="34" customFormat="1">
      <c r="A14" s="8" t="s">
        <v>42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7"/>
      <c r="H14" s="57"/>
      <c r="I14" s="57"/>
      <c r="J14" s="57"/>
      <c r="K14" s="57"/>
      <c r="L14" s="57"/>
      <c r="M14" s="57"/>
    </row>
    <row r="15" spans="1:13" s="31" customFormat="1">
      <c r="A15" s="9" t="s">
        <v>43</v>
      </c>
      <c r="B15" s="56">
        <f>19.5+33.8+154.9+121.5</f>
        <v>329.7</v>
      </c>
      <c r="C15" s="56">
        <v>94.4</v>
      </c>
      <c r="D15" s="56">
        <v>464.69</v>
      </c>
      <c r="E15" s="56">
        <f>77+5.3+20+15+7.6+8.4+84.5+50</f>
        <v>267.79999999999995</v>
      </c>
      <c r="F15" s="56">
        <f>35+35+58.8+0.6+35</f>
        <v>164.4</v>
      </c>
      <c r="G15" s="56">
        <v>277.5</v>
      </c>
      <c r="H15" s="56">
        <f>52.5+43</f>
        <v>95.5</v>
      </c>
      <c r="I15" s="56"/>
      <c r="J15" s="56"/>
      <c r="K15" s="56"/>
      <c r="L15" s="56"/>
      <c r="M15" s="56"/>
    </row>
    <row r="16" spans="1:13" s="31" customFormat="1">
      <c r="A16" s="8" t="s">
        <v>44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>
        <v>0</v>
      </c>
      <c r="C17" s="56">
        <v>0</v>
      </c>
      <c r="D17" s="56">
        <v>0</v>
      </c>
      <c r="E17" s="56">
        <v>0</v>
      </c>
      <c r="F17" s="56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0</v>
      </c>
      <c r="C18" s="59">
        <v>0</v>
      </c>
      <c r="D18" s="56">
        <v>0</v>
      </c>
      <c r="E18" s="56">
        <v>0</v>
      </c>
      <c r="F18" s="56">
        <v>0</v>
      </c>
      <c r="G18" s="56">
        <v>400</v>
      </c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>
        <f t="shared" ref="B19:H19" si="0">SUM(B5:B18)</f>
        <v>532.77</v>
      </c>
      <c r="C19" s="44">
        <f t="shared" si="0"/>
        <v>255.07</v>
      </c>
      <c r="D19" s="44">
        <f t="shared" si="0"/>
        <v>661.14</v>
      </c>
      <c r="E19" s="44">
        <f t="shared" si="0"/>
        <v>438.33999999999992</v>
      </c>
      <c r="F19" s="44">
        <f t="shared" si="0"/>
        <v>344.84000000000003</v>
      </c>
      <c r="G19" s="44">
        <f t="shared" si="0"/>
        <v>882.94</v>
      </c>
      <c r="H19" s="44">
        <f t="shared" si="0"/>
        <v>372.99</v>
      </c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0</v>
      </c>
      <c r="C20" s="56">
        <v>0</v>
      </c>
      <c r="D20" s="56">
        <v>67.599999999999994</v>
      </c>
      <c r="E20" s="56">
        <v>159.9</v>
      </c>
      <c r="F20" s="56">
        <v>0</v>
      </c>
      <c r="G20" s="56">
        <v>400</v>
      </c>
      <c r="H20" s="56">
        <v>2.36</v>
      </c>
      <c r="I20" s="56"/>
      <c r="J20" s="56" t="s">
        <v>89</v>
      </c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f>B19-B20</f>
        <v>532.77</v>
      </c>
      <c r="C21" s="44">
        <f t="shared" ref="C21:M21" si="1">C19-C20</f>
        <v>255.07</v>
      </c>
      <c r="D21" s="44">
        <f t="shared" si="1"/>
        <v>593.54</v>
      </c>
      <c r="E21" s="44">
        <f t="shared" si="1"/>
        <v>278.43999999999994</v>
      </c>
      <c r="F21" s="44">
        <f t="shared" si="1"/>
        <v>344.84000000000003</v>
      </c>
      <c r="G21" s="44">
        <f t="shared" si="1"/>
        <v>482.94000000000005</v>
      </c>
      <c r="H21" s="44">
        <f t="shared" si="1"/>
        <v>370.63</v>
      </c>
      <c r="I21" s="44">
        <f t="shared" si="1"/>
        <v>0</v>
      </c>
      <c r="J21" s="44"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>
      <c r="A22" s="60" t="s">
        <v>18</v>
      </c>
      <c r="B22" s="61">
        <f>AVERAGE(B21)</f>
        <v>532.77</v>
      </c>
      <c r="C22" s="61">
        <f>AVERAGE(B21:C21)</f>
        <v>393.91999999999996</v>
      </c>
      <c r="D22" s="61">
        <f>AVERAGE(B21:D21)</f>
        <v>460.46</v>
      </c>
      <c r="E22" s="61">
        <f>AVERAGE(B21:E21)</f>
        <v>414.95499999999993</v>
      </c>
      <c r="F22" s="61">
        <f>AVERAGE(B21:F21)</f>
        <v>400.93199999999996</v>
      </c>
      <c r="G22" s="61">
        <f>AVERAGE(B21:G21)</f>
        <v>414.59999999999997</v>
      </c>
      <c r="H22" s="61">
        <f>AVERAGE(B21:H21)</f>
        <v>408.31857142857143</v>
      </c>
      <c r="I22" s="61"/>
      <c r="J22" s="61"/>
      <c r="K22" s="61"/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M24"/>
  <sheetViews>
    <sheetView topLeftCell="A7" zoomScaleNormal="100" workbookViewId="0">
      <selection activeCell="G15" sqref="G15"/>
    </sheetView>
  </sheetViews>
  <sheetFormatPr defaultRowHeight="12.75"/>
  <cols>
    <col min="1" max="1" width="62" style="33" customWidth="1"/>
    <col min="2" max="2" width="10" style="26" customWidth="1"/>
    <col min="3" max="3" width="9" style="26" bestFit="1" customWidth="1"/>
    <col min="4" max="8" width="9" style="27" bestFit="1" customWidth="1"/>
    <col min="9" max="9" width="9" style="27" customWidth="1"/>
    <col min="10" max="12" width="7.85546875" style="27" bestFit="1" customWidth="1"/>
    <col min="13" max="13" width="7.85546875" style="27" customWidth="1"/>
    <col min="14" max="16384" width="9.140625" style="29"/>
  </cols>
  <sheetData>
    <row r="1" spans="1:13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49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6">
        <v>0</v>
      </c>
      <c r="G5" s="54"/>
      <c r="H5" s="54"/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6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6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6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6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6">
        <v>0</v>
      </c>
      <c r="G10" s="54"/>
      <c r="H10" s="54"/>
      <c r="I10" s="54"/>
      <c r="J10" s="54"/>
      <c r="K10" s="54"/>
      <c r="L10" s="54"/>
      <c r="M10" s="54"/>
    </row>
    <row r="11" spans="1:13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6">
        <v>0</v>
      </c>
      <c r="G11" s="56"/>
      <c r="H11" s="56"/>
      <c r="I11" s="56"/>
      <c r="J11" s="56"/>
      <c r="K11" s="56"/>
      <c r="L11" s="56"/>
      <c r="M11" s="56"/>
    </row>
    <row r="12" spans="1:13" s="34" customFormat="1">
      <c r="A12" s="8" t="s">
        <v>40</v>
      </c>
      <c r="B12" s="56">
        <v>1950</v>
      </c>
      <c r="C12" s="56">
        <v>1755</v>
      </c>
      <c r="D12" s="57">
        <v>1950</v>
      </c>
      <c r="E12" s="57">
        <v>1950</v>
      </c>
      <c r="F12" s="57">
        <v>1950</v>
      </c>
      <c r="G12" s="57">
        <v>1950</v>
      </c>
      <c r="H12" s="57">
        <v>1950</v>
      </c>
      <c r="I12" s="58"/>
      <c r="J12" s="57"/>
      <c r="K12" s="57"/>
      <c r="L12" s="57"/>
      <c r="M12" s="57"/>
    </row>
    <row r="13" spans="1:13" s="31" customFormat="1">
      <c r="A13" s="8" t="s">
        <v>41</v>
      </c>
      <c r="B13" s="56">
        <v>0</v>
      </c>
      <c r="C13" s="56">
        <v>0</v>
      </c>
      <c r="D13" s="56">
        <v>0</v>
      </c>
      <c r="E13" s="57">
        <v>1790</v>
      </c>
      <c r="F13" s="56">
        <v>0</v>
      </c>
      <c r="G13" s="57"/>
      <c r="H13" s="57"/>
      <c r="I13" s="57"/>
      <c r="J13" s="57"/>
      <c r="K13" s="57"/>
      <c r="L13" s="57"/>
      <c r="M13" s="57"/>
    </row>
    <row r="14" spans="1:13" s="34" customFormat="1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6">
        <v>0</v>
      </c>
      <c r="G14" s="57"/>
      <c r="H14" s="57"/>
      <c r="I14" s="57"/>
      <c r="J14" s="57"/>
      <c r="K14" s="57"/>
      <c r="L14" s="57"/>
      <c r="M14" s="57"/>
    </row>
    <row r="15" spans="1:13" s="31" customFormat="1">
      <c r="A15" s="9" t="s">
        <v>43</v>
      </c>
      <c r="B15" s="56">
        <v>0</v>
      </c>
      <c r="C15" s="56">
        <v>0</v>
      </c>
      <c r="D15" s="56">
        <v>0</v>
      </c>
      <c r="E15" s="54">
        <v>0</v>
      </c>
      <c r="F15" s="56">
        <v>0</v>
      </c>
      <c r="G15" s="56"/>
      <c r="H15" s="56"/>
      <c r="I15" s="56"/>
      <c r="J15" s="56"/>
      <c r="K15" s="56"/>
      <c r="L15" s="56"/>
      <c r="M15" s="56"/>
    </row>
    <row r="16" spans="1:13" s="31" customFormat="1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6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6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0</v>
      </c>
      <c r="C18" s="59">
        <v>0</v>
      </c>
      <c r="D18" s="59">
        <v>0</v>
      </c>
      <c r="E18" s="54">
        <v>0</v>
      </c>
      <c r="F18" s="56">
        <v>0</v>
      </c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>
        <f t="shared" ref="B19:H19" si="0">SUM(B5:B18)</f>
        <v>1950</v>
      </c>
      <c r="C19" s="44">
        <f t="shared" si="0"/>
        <v>1755</v>
      </c>
      <c r="D19" s="44">
        <f t="shared" si="0"/>
        <v>1950</v>
      </c>
      <c r="E19" s="44">
        <f t="shared" si="0"/>
        <v>3740</v>
      </c>
      <c r="F19" s="44">
        <f t="shared" si="0"/>
        <v>1950</v>
      </c>
      <c r="G19" s="44">
        <f t="shared" si="0"/>
        <v>1950</v>
      </c>
      <c r="H19" s="44">
        <f t="shared" si="0"/>
        <v>1950</v>
      </c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0</v>
      </c>
      <c r="C20" s="56">
        <v>0</v>
      </c>
      <c r="D20" s="56">
        <v>0</v>
      </c>
      <c r="E20" s="56">
        <v>0</v>
      </c>
      <c r="F20" s="56">
        <v>0</v>
      </c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f>B19-B20</f>
        <v>1950</v>
      </c>
      <c r="C21" s="44">
        <f t="shared" ref="C21:M21" si="1">C19-C20</f>
        <v>1755</v>
      </c>
      <c r="D21" s="44">
        <f t="shared" si="1"/>
        <v>1950</v>
      </c>
      <c r="E21" s="44">
        <f t="shared" si="1"/>
        <v>3740</v>
      </c>
      <c r="F21" s="44">
        <f t="shared" si="1"/>
        <v>1950</v>
      </c>
      <c r="G21" s="44">
        <f t="shared" si="1"/>
        <v>1950</v>
      </c>
      <c r="H21" s="44">
        <f t="shared" si="1"/>
        <v>1950</v>
      </c>
      <c r="I21" s="44">
        <f t="shared" si="1"/>
        <v>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>
      <c r="A22" s="60" t="s">
        <v>18</v>
      </c>
      <c r="B22" s="61">
        <f>AVERAGE(B21)</f>
        <v>1950</v>
      </c>
      <c r="C22" s="61">
        <f>AVERAGE(B21:C21)</f>
        <v>1852.5</v>
      </c>
      <c r="D22" s="61">
        <f>AVERAGE(B21:D21)</f>
        <v>1885</v>
      </c>
      <c r="E22" s="61">
        <f>AVERAGE(C21:E21)</f>
        <v>2481.6666666666665</v>
      </c>
      <c r="F22" s="61">
        <f>AVERAGE(B21:F21)</f>
        <v>2269</v>
      </c>
      <c r="G22" s="61">
        <f>AVERAGE(B21:G21)</f>
        <v>2215.8333333333335</v>
      </c>
      <c r="H22" s="61">
        <f>AVERAGE(B21:H21)</f>
        <v>2177.8571428571427</v>
      </c>
      <c r="I22" s="61"/>
      <c r="J22" s="61"/>
      <c r="K22" s="61"/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M24"/>
  <sheetViews>
    <sheetView topLeftCell="A7" zoomScaleNormal="100" workbookViewId="0">
      <selection activeCell="L25" sqref="L25"/>
    </sheetView>
  </sheetViews>
  <sheetFormatPr defaultRowHeight="12.75"/>
  <cols>
    <col min="1" max="1" width="65.28515625" style="33" customWidth="1"/>
    <col min="2" max="2" width="9.7109375" style="26" customWidth="1"/>
    <col min="3" max="3" width="9" style="26" bestFit="1" customWidth="1"/>
    <col min="4" max="8" width="9" style="27" bestFit="1" customWidth="1"/>
    <col min="9" max="13" width="7.85546875" style="27" bestFit="1" customWidth="1"/>
    <col min="14" max="16384" width="9.140625" style="29"/>
  </cols>
  <sheetData>
    <row r="1" spans="1:13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74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>
      <c r="A12" s="8" t="s">
        <v>40</v>
      </c>
      <c r="B12" s="56">
        <v>0</v>
      </c>
      <c r="C12" s="54">
        <v>0</v>
      </c>
      <c r="D12" s="54">
        <v>0</v>
      </c>
      <c r="E12" s="57">
        <f>1935.3+2613</f>
        <v>4548.3</v>
      </c>
      <c r="F12" s="57">
        <v>4699.91</v>
      </c>
      <c r="G12" s="57">
        <v>4548.3</v>
      </c>
      <c r="H12" s="57">
        <f>1999.81+2700.1</f>
        <v>4699.91</v>
      </c>
      <c r="I12" s="58"/>
      <c r="J12" s="57"/>
      <c r="K12" s="57"/>
      <c r="L12" s="57"/>
      <c r="M12" s="57"/>
    </row>
    <row r="13" spans="1:13" s="31" customFormat="1">
      <c r="A13" s="8" t="s">
        <v>41</v>
      </c>
      <c r="B13" s="56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>
      <c r="A14" s="8" t="s">
        <v>42</v>
      </c>
      <c r="B14" s="56"/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>
      <c r="A15" s="9" t="s">
        <v>43</v>
      </c>
      <c r="B15" s="56">
        <v>1979.34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0</v>
      </c>
      <c r="C18" s="54">
        <v>0</v>
      </c>
      <c r="D18" s="56">
        <v>720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>
        <f>SUM(B5:B18)</f>
        <v>1979.34</v>
      </c>
      <c r="C19" s="44" t="s">
        <v>55</v>
      </c>
      <c r="D19" s="44">
        <f>SUM(D5:D18)</f>
        <v>720</v>
      </c>
      <c r="E19" s="44">
        <f>SUM(E5:E18)</f>
        <v>4548.3</v>
      </c>
      <c r="F19" s="44">
        <f>SUM(F5:F18)</f>
        <v>4699.91</v>
      </c>
      <c r="G19" s="44">
        <f>SUM(G5:G18)</f>
        <v>4548.3</v>
      </c>
      <c r="H19" s="44">
        <f>SUM(H5:H18)</f>
        <v>4699.91</v>
      </c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55.92</v>
      </c>
      <c r="C20" s="56">
        <v>0</v>
      </c>
      <c r="D20" s="56">
        <v>0</v>
      </c>
      <c r="E20" s="56">
        <v>0</v>
      </c>
      <c r="F20" s="56">
        <v>99.91</v>
      </c>
      <c r="G20" s="56"/>
      <c r="H20" s="56">
        <v>99.91</v>
      </c>
      <c r="I20" s="56"/>
      <c r="J20" s="56"/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f>B19-B20</f>
        <v>1923.4199999999998</v>
      </c>
      <c r="C21" s="44">
        <v>0</v>
      </c>
      <c r="D21" s="44">
        <f t="shared" ref="D21:M21" si="0">D19-D20</f>
        <v>720</v>
      </c>
      <c r="E21" s="44">
        <f t="shared" si="0"/>
        <v>4548.3</v>
      </c>
      <c r="F21" s="44">
        <f t="shared" si="0"/>
        <v>4600</v>
      </c>
      <c r="G21" s="44">
        <f t="shared" si="0"/>
        <v>4548.3</v>
      </c>
      <c r="H21" s="44">
        <f t="shared" si="0"/>
        <v>4600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>
      <c r="A22" s="60" t="s">
        <v>18</v>
      </c>
      <c r="B22" s="61">
        <f>AVERAGE(B21)</f>
        <v>1923.4199999999998</v>
      </c>
      <c r="C22" s="61">
        <f>AVERAGE(B21:C21)</f>
        <v>961.70999999999992</v>
      </c>
      <c r="D22" s="61">
        <f>AVERAGE(B21:D21)</f>
        <v>881.14</v>
      </c>
      <c r="E22" s="61">
        <f>AVERAGE(B21:E21)</f>
        <v>1797.93</v>
      </c>
      <c r="F22" s="61">
        <f>AVERAGE(B21:F21)</f>
        <v>2358.3440000000001</v>
      </c>
      <c r="G22" s="61">
        <f>AVERAGE(B21:G21)</f>
        <v>2723.3366666666666</v>
      </c>
      <c r="H22" s="61">
        <f>AVERAGE(B21:H21)</f>
        <v>2991.4314285714286</v>
      </c>
      <c r="I22" s="61"/>
      <c r="J22" s="61"/>
      <c r="K22" s="61"/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M24"/>
  <sheetViews>
    <sheetView topLeftCell="A10" zoomScaleNormal="100" workbookViewId="0">
      <selection activeCell="H13" sqref="H13"/>
    </sheetView>
  </sheetViews>
  <sheetFormatPr defaultRowHeight="12.75"/>
  <cols>
    <col min="1" max="1" width="52.28515625" style="33" customWidth="1"/>
    <col min="2" max="2" width="10.28515625" style="26" customWidth="1"/>
    <col min="3" max="3" width="11" style="26" customWidth="1"/>
    <col min="4" max="5" width="7.85546875" style="27" bestFit="1" customWidth="1"/>
    <col min="6" max="6" width="9" style="27" bestFit="1" customWidth="1"/>
    <col min="7" max="7" width="9.140625" style="27" customWidth="1"/>
    <col min="8" max="8" width="9.7109375" style="27" customWidth="1"/>
    <col min="9" max="9" width="9.85546875" style="27" customWidth="1"/>
    <col min="10" max="10" width="7.7109375" style="27" customWidth="1"/>
    <col min="11" max="11" width="5.140625" style="27" customWidth="1"/>
    <col min="12" max="12" width="6.28515625" style="27" customWidth="1"/>
    <col min="13" max="13" width="5.140625" style="27" customWidth="1"/>
    <col min="14" max="16384" width="9.140625" style="29"/>
  </cols>
  <sheetData>
    <row r="1" spans="1:13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78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>
      <c r="A12" s="8" t="s">
        <v>40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7">
        <v>4200</v>
      </c>
      <c r="H12" s="57">
        <v>4340</v>
      </c>
      <c r="I12" s="58"/>
      <c r="J12" s="57"/>
      <c r="K12" s="57"/>
      <c r="L12" s="57"/>
      <c r="M12" s="57"/>
    </row>
    <row r="13" spans="1:13" s="31" customFormat="1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 ht="25.5">
      <c r="A14" s="8" t="s">
        <v>42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>
      <c r="A15" s="9" t="s">
        <v>43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 ht="25.5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4">
        <v>0</v>
      </c>
      <c r="C18" s="54">
        <v>0</v>
      </c>
      <c r="D18" s="54">
        <v>0</v>
      </c>
      <c r="E18" s="54">
        <v>0</v>
      </c>
      <c r="F18" s="56">
        <v>4340</v>
      </c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 t="s">
        <v>55</v>
      </c>
      <c r="C19" s="44" t="s">
        <v>55</v>
      </c>
      <c r="D19" s="44" t="s">
        <v>55</v>
      </c>
      <c r="E19" s="44" t="s">
        <v>55</v>
      </c>
      <c r="F19" s="44">
        <f>SUM(F5:F18)</f>
        <v>4340</v>
      </c>
      <c r="G19" s="44">
        <f>SUM(G5:G18)</f>
        <v>4200</v>
      </c>
      <c r="H19" s="44">
        <f>SUM(H5:H18)</f>
        <v>4340</v>
      </c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0</v>
      </c>
      <c r="C20" s="56"/>
      <c r="D20" s="56"/>
      <c r="E20" s="56"/>
      <c r="F20" s="56">
        <v>0</v>
      </c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v>0</v>
      </c>
      <c r="C21" s="44">
        <v>0</v>
      </c>
      <c r="D21" s="44">
        <v>0</v>
      </c>
      <c r="E21" s="44">
        <v>0</v>
      </c>
      <c r="F21" s="44">
        <f t="shared" ref="F21:M21" si="0">F19-F20</f>
        <v>4340</v>
      </c>
      <c r="G21" s="44">
        <f t="shared" si="0"/>
        <v>4200</v>
      </c>
      <c r="H21" s="44">
        <f t="shared" si="0"/>
        <v>4340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>
      <c r="A22" s="60" t="s">
        <v>18</v>
      </c>
      <c r="B22" s="61">
        <f>AVERAGE(B21)</f>
        <v>0</v>
      </c>
      <c r="C22" s="61">
        <f>AVERAGE(B21:C21)</f>
        <v>0</v>
      </c>
      <c r="D22" s="61">
        <f>AVERAGE(B21:D21)</f>
        <v>0</v>
      </c>
      <c r="E22" s="61">
        <v>0</v>
      </c>
      <c r="F22" s="61">
        <f>AVERAGE(B21:F21)</f>
        <v>868</v>
      </c>
      <c r="G22" s="61">
        <f>AVERAGE(B21:G21)</f>
        <v>1423.3333333333333</v>
      </c>
      <c r="H22" s="61">
        <f>AVERAGE(B21:H21)</f>
        <v>1840</v>
      </c>
      <c r="I22" s="61"/>
      <c r="J22" s="61"/>
      <c r="K22" s="61"/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M24"/>
  <sheetViews>
    <sheetView topLeftCell="A13" zoomScaleNormal="100" workbookViewId="0">
      <selection activeCell="J20" sqref="J20"/>
    </sheetView>
  </sheetViews>
  <sheetFormatPr defaultRowHeight="15"/>
  <cols>
    <col min="1" max="1" width="64.85546875" customWidth="1"/>
    <col min="2" max="2" width="8" customWidth="1"/>
    <col min="3" max="3" width="9.140625" customWidth="1"/>
    <col min="4" max="4" width="9" bestFit="1" customWidth="1"/>
  </cols>
  <sheetData>
    <row r="1" spans="1:13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76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>
      <c r="A12" s="8" t="s">
        <v>40</v>
      </c>
      <c r="B12" s="56">
        <v>0</v>
      </c>
      <c r="C12" s="56">
        <v>1680</v>
      </c>
      <c r="D12" s="57">
        <v>1860</v>
      </c>
      <c r="E12" s="54">
        <v>3600</v>
      </c>
      <c r="F12" s="57">
        <v>3720</v>
      </c>
      <c r="G12" s="57">
        <v>3600</v>
      </c>
      <c r="H12" s="57">
        <v>3720</v>
      </c>
      <c r="I12" s="58"/>
      <c r="J12" s="57"/>
      <c r="K12" s="57"/>
      <c r="L12" s="57"/>
      <c r="M12" s="57"/>
    </row>
    <row r="13" spans="1:13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>
      <c r="A15" s="9" t="s">
        <v>43</v>
      </c>
      <c r="B15" s="56">
        <v>0</v>
      </c>
      <c r="C15" s="56">
        <v>0</v>
      </c>
      <c r="D15" s="56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5.75" thickBot="1">
      <c r="A18" s="22" t="s">
        <v>46</v>
      </c>
      <c r="B18" s="59">
        <v>0</v>
      </c>
      <c r="C18" s="59">
        <v>0</v>
      </c>
      <c r="D18" s="59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5.75" thickBot="1">
      <c r="A19" s="43" t="s">
        <v>47</v>
      </c>
      <c r="B19" s="44" t="s">
        <v>55</v>
      </c>
      <c r="C19" s="44">
        <f t="shared" ref="C19:H19" si="0">SUM(C5:C18)</f>
        <v>1680</v>
      </c>
      <c r="D19" s="44">
        <f t="shared" si="0"/>
        <v>1860</v>
      </c>
      <c r="E19" s="44">
        <f t="shared" si="0"/>
        <v>3600</v>
      </c>
      <c r="F19" s="44">
        <f t="shared" si="0"/>
        <v>3720</v>
      </c>
      <c r="G19" s="44">
        <f t="shared" si="0"/>
        <v>3600</v>
      </c>
      <c r="H19" s="44">
        <f t="shared" si="0"/>
        <v>3720</v>
      </c>
      <c r="I19" s="44"/>
      <c r="J19" s="44"/>
      <c r="K19" s="44">
        <v>0</v>
      </c>
      <c r="L19" s="44">
        <v>0</v>
      </c>
      <c r="M19" s="44">
        <v>0</v>
      </c>
    </row>
    <row r="20" spans="1:13" ht="15.75" thickBot="1">
      <c r="A20" s="60" t="s">
        <v>24</v>
      </c>
      <c r="B20" s="45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/>
      <c r="J20" s="56"/>
      <c r="K20" s="56">
        <v>0</v>
      </c>
      <c r="L20" s="56">
        <v>0</v>
      </c>
      <c r="M20" s="56">
        <v>0</v>
      </c>
    </row>
    <row r="21" spans="1:13" ht="15.75" thickBot="1">
      <c r="A21" s="43" t="s">
        <v>25</v>
      </c>
      <c r="B21" s="44">
        <v>0</v>
      </c>
      <c r="C21" s="44">
        <f t="shared" ref="C21:M21" si="1">C19-C20</f>
        <v>1680</v>
      </c>
      <c r="D21" s="44">
        <f t="shared" si="1"/>
        <v>1860</v>
      </c>
      <c r="E21" s="44">
        <f t="shared" si="1"/>
        <v>3600</v>
      </c>
      <c r="F21" s="44">
        <f t="shared" si="1"/>
        <v>3720</v>
      </c>
      <c r="G21" s="44">
        <f t="shared" si="1"/>
        <v>3600</v>
      </c>
      <c r="H21" s="44">
        <f t="shared" si="1"/>
        <v>3720</v>
      </c>
      <c r="I21" s="44">
        <f t="shared" si="1"/>
        <v>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5.75" thickBot="1">
      <c r="A22" s="60" t="s">
        <v>18</v>
      </c>
      <c r="B22" s="61">
        <f>AVERAGE(B21)</f>
        <v>0</v>
      </c>
      <c r="C22" s="61">
        <f>AVERAGE(B21:C21)</f>
        <v>840</v>
      </c>
      <c r="D22" s="61">
        <f>AVERAGE(B21:D21)</f>
        <v>1180</v>
      </c>
      <c r="E22" s="61">
        <f>AVERAGE(B21:E21)</f>
        <v>1785</v>
      </c>
      <c r="F22" s="61">
        <f>AVERAGE(B21:F21)</f>
        <v>2172</v>
      </c>
      <c r="G22" s="61">
        <f>AVERAGE(B21:G21)</f>
        <v>2410</v>
      </c>
      <c r="H22" s="61">
        <f>AVERAGE(B21:H21)</f>
        <v>2597.1428571428573</v>
      </c>
      <c r="I22" s="61"/>
      <c r="J22" s="61"/>
      <c r="K22" s="61"/>
      <c r="L22" s="61"/>
      <c r="M22" s="61"/>
    </row>
    <row r="23" spans="1:13" ht="15.7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M24"/>
  <sheetViews>
    <sheetView topLeftCell="A7" zoomScaleNormal="100" workbookViewId="0">
      <selection activeCell="F11" sqref="F11"/>
    </sheetView>
  </sheetViews>
  <sheetFormatPr defaultRowHeight="12.75"/>
  <cols>
    <col min="1" max="1" width="61.7109375" style="33" customWidth="1"/>
    <col min="2" max="2" width="9.7109375" style="26" customWidth="1"/>
    <col min="3" max="3" width="9.42578125" style="26" customWidth="1"/>
    <col min="4" max="7" width="9" style="27" bestFit="1" customWidth="1"/>
    <col min="8" max="8" width="9.140625" style="27" customWidth="1"/>
    <col min="9" max="13" width="8" style="27" customWidth="1"/>
    <col min="14" max="16384" width="9.140625" style="29"/>
  </cols>
  <sheetData>
    <row r="1" spans="1:13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75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>
        <v>3000</v>
      </c>
      <c r="H5" s="54">
        <v>3000</v>
      </c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s="35" customFormat="1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1" customFormat="1">
      <c r="A12" s="8" t="s">
        <v>40</v>
      </c>
      <c r="B12" s="56">
        <v>2100</v>
      </c>
      <c r="C12" s="56">
        <v>1960</v>
      </c>
      <c r="D12" s="57">
        <v>2100</v>
      </c>
      <c r="E12" s="57">
        <v>4670</v>
      </c>
      <c r="F12" s="57">
        <f>1540+3300</f>
        <v>4840</v>
      </c>
      <c r="G12" s="57">
        <v>1680</v>
      </c>
      <c r="H12" s="57">
        <v>1680</v>
      </c>
      <c r="I12" s="58"/>
      <c r="J12" s="57"/>
      <c r="K12" s="57"/>
      <c r="L12" s="57"/>
      <c r="M12" s="57"/>
    </row>
    <row r="13" spans="1:13" s="35" customFormat="1">
      <c r="A13" s="8" t="s">
        <v>41</v>
      </c>
      <c r="B13" s="56">
        <v>0</v>
      </c>
      <c r="C13" s="56">
        <v>0</v>
      </c>
      <c r="D13" s="56">
        <v>0</v>
      </c>
      <c r="E13" s="56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1" customFormat="1">
      <c r="A14" s="8" t="s">
        <v>42</v>
      </c>
      <c r="B14" s="56">
        <v>0</v>
      </c>
      <c r="C14" s="56">
        <v>0</v>
      </c>
      <c r="D14" s="56">
        <v>0</v>
      </c>
      <c r="E14" s="56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>
      <c r="A15" s="9" t="s">
        <v>43</v>
      </c>
      <c r="B15" s="56">
        <v>0</v>
      </c>
      <c r="C15" s="56">
        <v>0</v>
      </c>
      <c r="D15" s="56">
        <v>0</v>
      </c>
      <c r="E15" s="56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>
      <c r="A16" s="8" t="s">
        <v>44</v>
      </c>
      <c r="B16" s="56">
        <v>0</v>
      </c>
      <c r="C16" s="56">
        <v>0</v>
      </c>
      <c r="D16" s="56">
        <v>0</v>
      </c>
      <c r="E16" s="56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>
        <v>0</v>
      </c>
      <c r="C17" s="56">
        <v>0</v>
      </c>
      <c r="D17" s="56">
        <v>0</v>
      </c>
      <c r="E17" s="56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6">
        <v>0</v>
      </c>
      <c r="C18" s="56">
        <v>0</v>
      </c>
      <c r="D18" s="56">
        <v>0</v>
      </c>
      <c r="E18" s="56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>
        <f t="shared" ref="B19:H19" si="0">SUM(B5:B18)</f>
        <v>2100</v>
      </c>
      <c r="C19" s="44">
        <f t="shared" si="0"/>
        <v>1960</v>
      </c>
      <c r="D19" s="44">
        <f t="shared" si="0"/>
        <v>2100</v>
      </c>
      <c r="E19" s="44">
        <f t="shared" si="0"/>
        <v>4670</v>
      </c>
      <c r="F19" s="44">
        <f t="shared" si="0"/>
        <v>4840</v>
      </c>
      <c r="G19" s="44">
        <f t="shared" si="0"/>
        <v>4680</v>
      </c>
      <c r="H19" s="44">
        <f t="shared" si="0"/>
        <v>4680</v>
      </c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100</v>
      </c>
      <c r="C20" s="56">
        <v>0</v>
      </c>
      <c r="D20" s="56">
        <v>100</v>
      </c>
      <c r="E20" s="56">
        <v>70</v>
      </c>
      <c r="F20" s="56">
        <v>240</v>
      </c>
      <c r="G20" s="56">
        <v>80</v>
      </c>
      <c r="H20" s="56">
        <v>80</v>
      </c>
      <c r="I20" s="56"/>
      <c r="J20" s="56"/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f>B19-B20</f>
        <v>2000</v>
      </c>
      <c r="C21" s="44">
        <f t="shared" ref="C21:M21" si="1">C19-C20</f>
        <v>1960</v>
      </c>
      <c r="D21" s="44">
        <f t="shared" si="1"/>
        <v>2000</v>
      </c>
      <c r="E21" s="44">
        <f t="shared" si="1"/>
        <v>4600</v>
      </c>
      <c r="F21" s="44">
        <f t="shared" si="1"/>
        <v>4600</v>
      </c>
      <c r="G21" s="44">
        <f t="shared" si="1"/>
        <v>4600</v>
      </c>
      <c r="H21" s="44">
        <f t="shared" si="1"/>
        <v>4600</v>
      </c>
      <c r="I21" s="44">
        <f t="shared" si="1"/>
        <v>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>
      <c r="A22" s="60" t="s">
        <v>18</v>
      </c>
      <c r="B22" s="61">
        <f>AVERAGE(B21)</f>
        <v>2000</v>
      </c>
      <c r="C22" s="61">
        <f>AVERAGE(B21:C21)</f>
        <v>1980</v>
      </c>
      <c r="D22" s="61">
        <f>AVERAGE(B21:D21)</f>
        <v>1986.6666666666667</v>
      </c>
      <c r="E22" s="61">
        <f>AVERAGE(B21:E21)</f>
        <v>2640</v>
      </c>
      <c r="F22" s="61">
        <f>AVERAGE(B21:F21)</f>
        <v>3032</v>
      </c>
      <c r="G22" s="61">
        <f>AVERAGE(B21:G21)</f>
        <v>3293.3333333333335</v>
      </c>
      <c r="H22" s="61">
        <f>AVERAGE(B21:H21)</f>
        <v>3480</v>
      </c>
      <c r="I22" s="61"/>
      <c r="J22" s="61"/>
      <c r="K22" s="61"/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I3:I4"/>
    <mergeCell ref="J3:J4"/>
    <mergeCell ref="K3:K4"/>
    <mergeCell ref="L3:L4"/>
    <mergeCell ref="M3:M4"/>
    <mergeCell ref="D3:D4"/>
    <mergeCell ref="E3:E4"/>
    <mergeCell ref="F3:F4"/>
    <mergeCell ref="G3:G4"/>
    <mergeCell ref="H3:H4"/>
  </mergeCells>
  <pageMargins left="0" right="0" top="0.19685039370078741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4"/>
  <sheetViews>
    <sheetView topLeftCell="A7" zoomScaleNormal="100" workbookViewId="0">
      <selection activeCell="P13" sqref="P13"/>
    </sheetView>
  </sheetViews>
  <sheetFormatPr defaultRowHeight="12.75"/>
  <cols>
    <col min="1" max="1" width="47.42578125" style="33" customWidth="1"/>
    <col min="2" max="2" width="8.85546875" style="26" customWidth="1"/>
    <col min="3" max="3" width="9" style="26" bestFit="1" customWidth="1"/>
    <col min="4" max="8" width="9" style="27" bestFit="1" customWidth="1"/>
    <col min="9" max="13" width="7.85546875" style="27" bestFit="1" customWidth="1"/>
    <col min="14" max="16384" width="9.140625" style="29"/>
  </cols>
  <sheetData>
    <row r="1" spans="1:14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4" ht="21.75" thickBot="1">
      <c r="A2" s="69" t="s">
        <v>54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4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4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4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/>
      <c r="G5" s="54"/>
      <c r="H5" s="54"/>
      <c r="I5" s="54"/>
      <c r="J5" s="54"/>
      <c r="K5" s="54"/>
      <c r="L5" s="54"/>
      <c r="M5" s="54"/>
    </row>
    <row r="6" spans="1:14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/>
      <c r="G6" s="54"/>
      <c r="H6" s="54"/>
      <c r="I6" s="54"/>
      <c r="J6" s="54"/>
      <c r="K6" s="54"/>
      <c r="L6" s="54"/>
      <c r="M6" s="54"/>
    </row>
    <row r="7" spans="1:14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/>
      <c r="G7" s="54"/>
      <c r="H7" s="54"/>
      <c r="I7" s="54"/>
      <c r="J7" s="54"/>
      <c r="K7" s="54"/>
      <c r="L7" s="54"/>
      <c r="M7" s="54"/>
    </row>
    <row r="8" spans="1:14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/>
      <c r="G8" s="54"/>
      <c r="H8" s="54"/>
      <c r="I8" s="54"/>
      <c r="J8" s="54"/>
      <c r="K8" s="54"/>
      <c r="L8" s="54"/>
      <c r="M8" s="54"/>
    </row>
    <row r="9" spans="1:14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/>
      <c r="G9" s="54"/>
      <c r="H9" s="54"/>
      <c r="I9" s="54"/>
      <c r="J9" s="54"/>
      <c r="K9" s="54"/>
      <c r="L9" s="54"/>
      <c r="M9" s="54"/>
    </row>
    <row r="10" spans="1:14" ht="13.5" customHeight="1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/>
      <c r="G10" s="54"/>
      <c r="H10" s="54"/>
      <c r="I10" s="54"/>
      <c r="J10" s="54"/>
      <c r="K10" s="54"/>
      <c r="L10" s="54"/>
      <c r="M10" s="54"/>
    </row>
    <row r="11" spans="1:14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6"/>
      <c r="G11" s="56"/>
      <c r="H11" s="56"/>
      <c r="I11" s="56"/>
      <c r="J11" s="56"/>
      <c r="K11" s="56"/>
      <c r="L11" s="56"/>
      <c r="M11" s="56"/>
    </row>
    <row r="12" spans="1:14" s="34" customFormat="1">
      <c r="A12" s="8" t="s">
        <v>40</v>
      </c>
      <c r="B12" s="56">
        <v>0</v>
      </c>
      <c r="C12" s="56">
        <v>2240</v>
      </c>
      <c r="D12" s="57">
        <v>2480</v>
      </c>
      <c r="E12" s="54">
        <v>2400</v>
      </c>
      <c r="F12" s="57">
        <v>2480</v>
      </c>
      <c r="G12" s="57">
        <v>2400</v>
      </c>
      <c r="H12" s="57">
        <v>2480</v>
      </c>
      <c r="I12" s="58"/>
      <c r="J12" s="57"/>
      <c r="K12" s="57"/>
      <c r="L12" s="57"/>
      <c r="M12" s="57"/>
    </row>
    <row r="13" spans="1:14" s="31" customFormat="1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7"/>
      <c r="G13" s="57"/>
      <c r="H13" s="57"/>
      <c r="I13" s="57"/>
      <c r="J13" s="57"/>
      <c r="K13" s="57"/>
      <c r="L13" s="57"/>
      <c r="M13" s="57"/>
      <c r="N13" s="42"/>
    </row>
    <row r="14" spans="1:14" s="34" customFormat="1" ht="25.5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7"/>
      <c r="G14" s="57"/>
      <c r="H14" s="57"/>
      <c r="I14" s="57"/>
      <c r="J14" s="57"/>
      <c r="K14" s="57"/>
      <c r="L14" s="57"/>
      <c r="M14" s="57"/>
    </row>
    <row r="15" spans="1:14" s="31" customFormat="1">
      <c r="A15" s="9" t="s">
        <v>43</v>
      </c>
      <c r="B15" s="56">
        <v>0</v>
      </c>
      <c r="C15" s="56">
        <v>0</v>
      </c>
      <c r="D15" s="56">
        <v>0</v>
      </c>
      <c r="F15" s="56"/>
      <c r="G15" s="54">
        <v>52.5</v>
      </c>
      <c r="H15" s="56"/>
      <c r="I15" s="56"/>
      <c r="J15" s="56"/>
      <c r="K15" s="56"/>
      <c r="L15" s="56"/>
      <c r="M15" s="56"/>
    </row>
    <row r="16" spans="1:14" s="31" customFormat="1" ht="25.5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7"/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7"/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0</v>
      </c>
      <c r="C18" s="59">
        <v>0</v>
      </c>
      <c r="D18" s="59">
        <v>0</v>
      </c>
      <c r="E18" s="54">
        <v>0</v>
      </c>
      <c r="F18" s="56"/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 t="s">
        <v>55</v>
      </c>
      <c r="C19" s="44">
        <f t="shared" ref="C19:H19" si="0">SUM(C5:C18)</f>
        <v>2240</v>
      </c>
      <c r="D19" s="44">
        <f t="shared" si="0"/>
        <v>2480</v>
      </c>
      <c r="E19" s="44">
        <f t="shared" si="0"/>
        <v>2400</v>
      </c>
      <c r="F19" s="44">
        <f t="shared" si="0"/>
        <v>2480</v>
      </c>
      <c r="G19" s="44">
        <f t="shared" si="0"/>
        <v>2452.5</v>
      </c>
      <c r="H19" s="44">
        <f t="shared" si="0"/>
        <v>2480</v>
      </c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0</v>
      </c>
      <c r="C20" s="56">
        <v>0</v>
      </c>
      <c r="D20" s="56">
        <v>0</v>
      </c>
      <c r="E20" s="56">
        <v>0</v>
      </c>
      <c r="F20" s="56">
        <v>0</v>
      </c>
      <c r="G20" s="56">
        <v>52.5</v>
      </c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v>0</v>
      </c>
      <c r="C21" s="44">
        <f t="shared" ref="C21:M21" si="1">C19-C20</f>
        <v>2240</v>
      </c>
      <c r="D21" s="44">
        <f t="shared" si="1"/>
        <v>2480</v>
      </c>
      <c r="E21" s="44">
        <f t="shared" si="1"/>
        <v>2400</v>
      </c>
      <c r="F21" s="44">
        <f t="shared" si="1"/>
        <v>2480</v>
      </c>
      <c r="G21" s="44">
        <f t="shared" si="1"/>
        <v>2400</v>
      </c>
      <c r="H21" s="44">
        <f t="shared" si="1"/>
        <v>2480</v>
      </c>
      <c r="I21" s="44">
        <f t="shared" si="1"/>
        <v>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>
      <c r="A22" s="60" t="s">
        <v>18</v>
      </c>
      <c r="B22" s="61">
        <f>AVERAGE(B21)</f>
        <v>0</v>
      </c>
      <c r="C22" s="61">
        <f>AVERAGE(B21:C21)</f>
        <v>1120</v>
      </c>
      <c r="D22" s="61">
        <f>AVERAGE(B21:D21)</f>
        <v>1573.3333333333333</v>
      </c>
      <c r="E22" s="61">
        <f>AVERAGE(B21:E21)</f>
        <v>1780</v>
      </c>
      <c r="F22" s="61">
        <f>AVERAGE(B21:F21)</f>
        <v>1920</v>
      </c>
      <c r="G22" s="61">
        <f>AVERAGE(B21:G21)</f>
        <v>2000</v>
      </c>
      <c r="H22" s="61">
        <f>AVERAGE(B21:H21)</f>
        <v>2068.5714285714284</v>
      </c>
      <c r="I22" s="61"/>
      <c r="J22" s="61"/>
      <c r="K22" s="61"/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M24"/>
  <sheetViews>
    <sheetView topLeftCell="A10" zoomScaleNormal="100" workbookViewId="0">
      <selection activeCell="N25" sqref="N25"/>
    </sheetView>
  </sheetViews>
  <sheetFormatPr defaultRowHeight="12.75"/>
  <cols>
    <col min="1" max="1" width="54.7109375" style="33" customWidth="1"/>
    <col min="2" max="2" width="11.5703125" style="26" customWidth="1"/>
    <col min="3" max="3" width="9" style="26" bestFit="1" customWidth="1"/>
    <col min="4" max="8" width="9" style="27" bestFit="1" customWidth="1"/>
    <col min="9" max="11" width="7.85546875" style="27" bestFit="1" customWidth="1"/>
    <col min="12" max="12" width="9.140625" style="27" customWidth="1"/>
    <col min="13" max="13" width="7.85546875" style="27" bestFit="1" customWidth="1"/>
    <col min="14" max="16384" width="9.140625" style="29"/>
  </cols>
  <sheetData>
    <row r="1" spans="1:13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77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>
      <c r="A12" s="8" t="s">
        <v>40</v>
      </c>
      <c r="B12" s="56">
        <v>1950</v>
      </c>
      <c r="C12" s="56">
        <v>1950</v>
      </c>
      <c r="D12" s="57">
        <v>1950</v>
      </c>
      <c r="E12" s="57">
        <v>1950</v>
      </c>
      <c r="F12" s="57">
        <v>1950</v>
      </c>
      <c r="G12" s="57">
        <v>4420</v>
      </c>
      <c r="H12" s="57">
        <v>4290</v>
      </c>
      <c r="I12" s="58"/>
      <c r="J12" s="57"/>
      <c r="K12" s="57"/>
      <c r="L12" s="57"/>
      <c r="M12" s="57"/>
    </row>
    <row r="13" spans="1:13" s="31" customFormat="1">
      <c r="A13" s="8" t="s">
        <v>41</v>
      </c>
      <c r="B13" s="56">
        <v>0</v>
      </c>
      <c r="C13" s="56">
        <v>0</v>
      </c>
      <c r="D13" s="56">
        <v>0</v>
      </c>
      <c r="E13" s="56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 ht="25.5">
      <c r="A14" s="8" t="s">
        <v>42</v>
      </c>
      <c r="B14" s="56">
        <v>0</v>
      </c>
      <c r="C14" s="56">
        <v>0</v>
      </c>
      <c r="D14" s="56">
        <v>0</v>
      </c>
      <c r="E14" s="56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>
      <c r="A15" s="9" t="s">
        <v>43</v>
      </c>
      <c r="B15" s="56">
        <v>0</v>
      </c>
      <c r="C15" s="56">
        <v>0</v>
      </c>
      <c r="D15" s="56">
        <v>0</v>
      </c>
      <c r="E15" s="56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 ht="25.5">
      <c r="A16" s="8" t="s">
        <v>44</v>
      </c>
      <c r="B16" s="56">
        <v>0</v>
      </c>
      <c r="C16" s="56">
        <v>0</v>
      </c>
      <c r="D16" s="56">
        <v>0</v>
      </c>
      <c r="E16" s="56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>
        <v>0</v>
      </c>
      <c r="C17" s="56">
        <v>0</v>
      </c>
      <c r="D17" s="56">
        <v>0</v>
      </c>
      <c r="E17" s="56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6">
        <v>0</v>
      </c>
      <c r="C18" s="56">
        <v>0</v>
      </c>
      <c r="D18" s="56">
        <v>0</v>
      </c>
      <c r="E18" s="56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>
        <f t="shared" ref="B19:H19" si="0">SUM(B5:B18)</f>
        <v>1950</v>
      </c>
      <c r="C19" s="44">
        <f t="shared" si="0"/>
        <v>1950</v>
      </c>
      <c r="D19" s="44">
        <f t="shared" si="0"/>
        <v>1950</v>
      </c>
      <c r="E19" s="44">
        <f t="shared" si="0"/>
        <v>1950</v>
      </c>
      <c r="F19" s="44">
        <f t="shared" si="0"/>
        <v>1950</v>
      </c>
      <c r="G19" s="44">
        <f t="shared" si="0"/>
        <v>4420</v>
      </c>
      <c r="H19" s="44">
        <f t="shared" si="0"/>
        <v>4290</v>
      </c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/>
      <c r="J20" s="56"/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f>B19-B20</f>
        <v>1950</v>
      </c>
      <c r="C21" s="44">
        <f t="shared" ref="C21:M21" si="1">C19-C20</f>
        <v>1950</v>
      </c>
      <c r="D21" s="44">
        <f t="shared" si="1"/>
        <v>1950</v>
      </c>
      <c r="E21" s="44">
        <f t="shared" si="1"/>
        <v>1950</v>
      </c>
      <c r="F21" s="44">
        <f t="shared" si="1"/>
        <v>1950</v>
      </c>
      <c r="G21" s="44">
        <f t="shared" si="1"/>
        <v>4420</v>
      </c>
      <c r="H21" s="44">
        <f t="shared" si="1"/>
        <v>4290</v>
      </c>
      <c r="I21" s="44">
        <f t="shared" si="1"/>
        <v>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>
      <c r="A22" s="60" t="s">
        <v>18</v>
      </c>
      <c r="B22" s="61">
        <f>AVERAGE(B21)</f>
        <v>1950</v>
      </c>
      <c r="C22" s="61">
        <f>AVERAGE(B21:C21)</f>
        <v>1950</v>
      </c>
      <c r="D22" s="61">
        <f>AVERAGE(B21:D21)</f>
        <v>1950</v>
      </c>
      <c r="E22" s="61">
        <f>AVERAGE(B21:E21)</f>
        <v>1950</v>
      </c>
      <c r="F22" s="61">
        <f>AVERAGE(B21:F21)</f>
        <v>1950</v>
      </c>
      <c r="G22" s="61">
        <f>AVERAGE(B21:G21)</f>
        <v>2361.6666666666665</v>
      </c>
      <c r="H22" s="61">
        <f>AVERAGE(B21:H21)</f>
        <v>2637.1428571428573</v>
      </c>
      <c r="I22" s="61"/>
      <c r="J22" s="61"/>
      <c r="K22" s="61"/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M24"/>
  <sheetViews>
    <sheetView topLeftCell="A10" zoomScaleNormal="100" workbookViewId="0">
      <selection activeCell="J15" sqref="J15"/>
    </sheetView>
  </sheetViews>
  <sheetFormatPr defaultRowHeight="12.75"/>
  <cols>
    <col min="1" max="1" width="57.85546875" style="2" customWidth="1"/>
    <col min="2" max="2" width="10.42578125" style="11" customWidth="1"/>
    <col min="3" max="3" width="10.5703125" style="11" customWidth="1"/>
    <col min="4" max="7" width="9" style="12" bestFit="1" customWidth="1"/>
    <col min="8" max="8" width="8.85546875" style="12" customWidth="1"/>
    <col min="9" max="13" width="8.42578125" style="12" customWidth="1"/>
    <col min="14" max="16384" width="9.140625" style="4"/>
  </cols>
  <sheetData>
    <row r="1" spans="1:13" s="1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85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s="13" customFormat="1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6" customFormat="1">
      <c r="A12" s="8" t="s">
        <v>40</v>
      </c>
      <c r="B12" s="56">
        <v>1800</v>
      </c>
      <c r="C12" s="56">
        <v>1680</v>
      </c>
      <c r="D12" s="57">
        <v>2170</v>
      </c>
      <c r="E12" s="57">
        <v>4800</v>
      </c>
      <c r="F12" s="57">
        <v>4960</v>
      </c>
      <c r="G12" s="57">
        <v>4800</v>
      </c>
      <c r="H12" s="57">
        <v>4960</v>
      </c>
      <c r="I12" s="58"/>
      <c r="J12" s="57"/>
      <c r="K12" s="57"/>
      <c r="L12" s="57"/>
      <c r="M12" s="57"/>
    </row>
    <row r="13" spans="1:13" s="13" customFormat="1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6" customFormat="1">
      <c r="A14" s="8" t="s">
        <v>42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6" customFormat="1">
      <c r="A15" s="9" t="s">
        <v>43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4">
        <v>0</v>
      </c>
      <c r="C18" s="54">
        <v>0</v>
      </c>
      <c r="D18" s="54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>
        <f t="shared" ref="B19:H19" si="0">SUM(B5:B18)</f>
        <v>1800</v>
      </c>
      <c r="C19" s="44">
        <f t="shared" si="0"/>
        <v>1680</v>
      </c>
      <c r="D19" s="44">
        <f t="shared" si="0"/>
        <v>2170</v>
      </c>
      <c r="E19" s="44">
        <f t="shared" si="0"/>
        <v>4800</v>
      </c>
      <c r="F19" s="44">
        <f t="shared" si="0"/>
        <v>4960</v>
      </c>
      <c r="G19" s="44">
        <f t="shared" si="0"/>
        <v>4800</v>
      </c>
      <c r="H19" s="44">
        <f t="shared" si="0"/>
        <v>4960</v>
      </c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0</v>
      </c>
      <c r="C20" s="56">
        <v>0</v>
      </c>
      <c r="D20" s="56">
        <v>170</v>
      </c>
      <c r="E20" s="56">
        <v>200</v>
      </c>
      <c r="F20" s="56">
        <v>360</v>
      </c>
      <c r="G20" s="56">
        <v>200</v>
      </c>
      <c r="H20" s="56">
        <v>360</v>
      </c>
      <c r="I20" s="56"/>
      <c r="J20" s="56"/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f>B19-B20</f>
        <v>1800</v>
      </c>
      <c r="C21" s="44">
        <f t="shared" ref="C21:M21" si="1">C19-C20</f>
        <v>1680</v>
      </c>
      <c r="D21" s="44">
        <f t="shared" si="1"/>
        <v>2000</v>
      </c>
      <c r="E21" s="44">
        <f t="shared" si="1"/>
        <v>4600</v>
      </c>
      <c r="F21" s="44">
        <f t="shared" si="1"/>
        <v>4600</v>
      </c>
      <c r="G21" s="44">
        <f t="shared" si="1"/>
        <v>4600</v>
      </c>
      <c r="H21" s="44">
        <f t="shared" si="1"/>
        <v>4600</v>
      </c>
      <c r="I21" s="44">
        <f t="shared" si="1"/>
        <v>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>
      <c r="A22" s="60" t="s">
        <v>18</v>
      </c>
      <c r="B22" s="61">
        <f>AVERAGE(B21)</f>
        <v>1800</v>
      </c>
      <c r="C22" s="61">
        <f>AVERAGE(B21:C21)</f>
        <v>1740</v>
      </c>
      <c r="D22" s="61">
        <f>AVERAGE(B21:D21)</f>
        <v>1826.6666666666667</v>
      </c>
      <c r="E22" s="61">
        <f>AVERAGE(B21:E21)</f>
        <v>2520</v>
      </c>
      <c r="F22" s="61">
        <f>AVERAGE(B21:F21)</f>
        <v>2936</v>
      </c>
      <c r="G22" s="61">
        <f>AVERAGE(B21:G21)</f>
        <v>3213.3333333333335</v>
      </c>
      <c r="H22" s="61">
        <f>AVERAGE(B21:H21)</f>
        <v>3411.4285714285716</v>
      </c>
      <c r="I22" s="61"/>
      <c r="J22" s="61"/>
      <c r="K22" s="61"/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M25"/>
  <sheetViews>
    <sheetView topLeftCell="A10" workbookViewId="0">
      <selection activeCell="I24" sqref="I24"/>
    </sheetView>
  </sheetViews>
  <sheetFormatPr defaultRowHeight="15"/>
  <cols>
    <col min="1" max="1" width="61.42578125" customWidth="1"/>
    <col min="2" max="2" width="9.5703125" bestFit="1" customWidth="1"/>
  </cols>
  <sheetData>
    <row r="1" spans="1:13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79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>
      <c r="A12" s="8" t="s">
        <v>40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7"/>
      <c r="H12" s="57"/>
      <c r="I12" s="58"/>
      <c r="J12" s="57"/>
      <c r="K12" s="57"/>
      <c r="L12" s="57"/>
      <c r="M12" s="57"/>
    </row>
    <row r="13" spans="1:13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>
      <c r="A14" s="8" t="s">
        <v>42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>
      <c r="A15" s="9" t="s">
        <v>43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5.75" thickBot="1">
      <c r="A18" s="22" t="s">
        <v>46</v>
      </c>
      <c r="B18" s="54">
        <v>0</v>
      </c>
      <c r="C18" s="54">
        <v>0</v>
      </c>
      <c r="D18" s="54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5.75" thickBot="1">
      <c r="A19" s="43" t="s">
        <v>47</v>
      </c>
      <c r="B19" s="44" t="s">
        <v>55</v>
      </c>
      <c r="C19" s="44" t="s">
        <v>55</v>
      </c>
      <c r="D19" s="44" t="s">
        <v>55</v>
      </c>
      <c r="E19" s="44" t="s">
        <v>55</v>
      </c>
      <c r="F19" s="44" t="s">
        <v>55</v>
      </c>
      <c r="G19" s="44" t="s">
        <v>55</v>
      </c>
      <c r="H19" s="44" t="s">
        <v>55</v>
      </c>
      <c r="I19" s="44"/>
      <c r="J19" s="44"/>
      <c r="K19" s="44">
        <v>0</v>
      </c>
      <c r="L19" s="44">
        <v>0</v>
      </c>
      <c r="M19" s="44">
        <v>0</v>
      </c>
    </row>
    <row r="20" spans="1:13" ht="15.75" thickBot="1">
      <c r="A20" s="60" t="s">
        <v>24</v>
      </c>
      <c r="B20" s="45">
        <v>0</v>
      </c>
      <c r="C20" s="56"/>
      <c r="D20" s="56"/>
      <c r="E20" s="56"/>
      <c r="F20" s="56"/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5.75" thickBot="1">
      <c r="A21" s="43" t="s">
        <v>25</v>
      </c>
      <c r="B21" s="44"/>
      <c r="C21" s="44"/>
      <c r="D21" s="44"/>
      <c r="E21" s="44">
        <v>0</v>
      </c>
      <c r="F21" s="44">
        <v>0</v>
      </c>
      <c r="G21" s="44">
        <v>0</v>
      </c>
      <c r="H21" s="44"/>
      <c r="I21" s="44">
        <f t="shared" ref="I21:M21" si="0">I19-I20</f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5.75" thickBot="1">
      <c r="A22" s="60" t="s">
        <v>18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</row>
    <row r="23" spans="1:13" ht="15.7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  <row r="25" spans="1:13">
      <c r="A25" s="67" t="s">
        <v>88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P22" sqref="P22"/>
    </sheetView>
  </sheetViews>
  <sheetFormatPr defaultRowHeight="12.75"/>
  <cols>
    <col min="1" max="1" width="59.42578125" style="33" customWidth="1"/>
    <col min="2" max="2" width="10.5703125" style="26" customWidth="1"/>
    <col min="3" max="3" width="7.85546875" style="26" bestFit="1" customWidth="1"/>
    <col min="4" max="4" width="8.7109375" style="27" bestFit="1" customWidth="1"/>
    <col min="5" max="11" width="7.85546875" style="27" bestFit="1" customWidth="1"/>
    <col min="12" max="12" width="7.85546875" style="27" customWidth="1"/>
    <col min="13" max="13" width="8.5703125" style="27" customWidth="1"/>
    <col min="14" max="16384" width="9.140625" style="29"/>
  </cols>
  <sheetData>
    <row r="1" spans="1:13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80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>
      <c r="A12" s="8" t="s">
        <v>40</v>
      </c>
      <c r="B12" s="56">
        <v>0</v>
      </c>
      <c r="C12" s="56">
        <v>0</v>
      </c>
      <c r="D12" s="56">
        <v>0</v>
      </c>
      <c r="E12" s="54">
        <v>0</v>
      </c>
      <c r="F12" s="54">
        <v>0</v>
      </c>
      <c r="G12" s="57"/>
      <c r="H12" s="57"/>
      <c r="I12" s="58"/>
      <c r="J12" s="57"/>
      <c r="K12" s="57"/>
      <c r="L12" s="57"/>
      <c r="M12" s="57"/>
    </row>
    <row r="13" spans="1:13" s="31" customFormat="1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>
      <c r="A15" s="9" t="s">
        <v>43</v>
      </c>
      <c r="B15" s="56">
        <v>0</v>
      </c>
      <c r="C15" s="56">
        <v>0</v>
      </c>
      <c r="D15" s="56">
        <v>280.45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0</v>
      </c>
      <c r="C18" s="59">
        <v>0</v>
      </c>
      <c r="D18" s="59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 t="s">
        <v>55</v>
      </c>
      <c r="C19" s="44" t="s">
        <v>55</v>
      </c>
      <c r="D19" s="44">
        <f>SUM(D5:D18)</f>
        <v>280.45</v>
      </c>
      <c r="E19" s="44" t="s">
        <v>55</v>
      </c>
      <c r="F19" s="44" t="s">
        <v>55</v>
      </c>
      <c r="G19" s="44" t="s">
        <v>55</v>
      </c>
      <c r="H19" s="44" t="s">
        <v>55</v>
      </c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0</v>
      </c>
      <c r="C20" s="56"/>
      <c r="D20" s="56"/>
      <c r="E20" s="56"/>
      <c r="F20" s="56"/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v>0</v>
      </c>
      <c r="C21" s="44">
        <v>0</v>
      </c>
      <c r="D21" s="44">
        <f t="shared" ref="D21:M21" si="0">D19-D20</f>
        <v>280.45</v>
      </c>
      <c r="E21" s="44">
        <v>0</v>
      </c>
      <c r="F21" s="44">
        <v>0</v>
      </c>
      <c r="G21" s="44">
        <v>0</v>
      </c>
      <c r="H21" s="44"/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>
      <c r="A22" s="60" t="s">
        <v>18</v>
      </c>
      <c r="B22" s="61">
        <f>AVERAGE(B21)</f>
        <v>0</v>
      </c>
      <c r="C22" s="61">
        <f>AVERAGE(B21:C21)</f>
        <v>0</v>
      </c>
      <c r="D22" s="61">
        <f>AVERAGE(B21:D21)</f>
        <v>93.483333333333334</v>
      </c>
      <c r="E22" s="61">
        <f>AVERAGE(B21:E21)</f>
        <v>70.112499999999997</v>
      </c>
      <c r="F22" s="61">
        <f>AVERAGE(B21:F21)</f>
        <v>56.089999999999996</v>
      </c>
      <c r="G22" s="61">
        <f>AVERAGE(B21:G21)</f>
        <v>46.741666666666667</v>
      </c>
      <c r="H22" s="61">
        <f>AVERAGE(B21:H21)</f>
        <v>46.741666666666667</v>
      </c>
      <c r="I22" s="61"/>
      <c r="J22" s="61"/>
      <c r="K22" s="61"/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:M24"/>
  <sheetViews>
    <sheetView topLeftCell="A7" workbookViewId="0">
      <selection activeCell="H13" sqref="H13"/>
    </sheetView>
  </sheetViews>
  <sheetFormatPr defaultRowHeight="15"/>
  <cols>
    <col min="1" max="1" width="56.5703125" customWidth="1"/>
    <col min="2" max="2" width="9.5703125" bestFit="1" customWidth="1"/>
  </cols>
  <sheetData>
    <row r="1" spans="1:13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81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2000</v>
      </c>
      <c r="E5" s="54">
        <v>2000</v>
      </c>
      <c r="F5" s="54">
        <v>2000</v>
      </c>
      <c r="G5" s="54">
        <v>2000</v>
      </c>
      <c r="H5" s="54">
        <v>200</v>
      </c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0.09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43.57</v>
      </c>
      <c r="G8" s="54">
        <v>40.18</v>
      </c>
      <c r="H8" s="54">
        <v>40.18</v>
      </c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140.63999999999999</v>
      </c>
      <c r="G9" s="54">
        <v>156.91999999999999</v>
      </c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6">
        <v>0</v>
      </c>
      <c r="G11" s="56"/>
      <c r="H11" s="56"/>
      <c r="I11" s="56"/>
      <c r="J11" s="56"/>
      <c r="K11" s="56"/>
      <c r="L11" s="56"/>
      <c r="M11" s="56"/>
    </row>
    <row r="12" spans="1:13">
      <c r="A12" s="8" t="s">
        <v>40</v>
      </c>
      <c r="B12" s="56">
        <v>0</v>
      </c>
      <c r="C12" s="56">
        <v>0</v>
      </c>
      <c r="D12" s="56">
        <v>0</v>
      </c>
      <c r="E12" s="54">
        <v>0</v>
      </c>
      <c r="F12" s="57">
        <v>756</v>
      </c>
      <c r="G12" s="57">
        <v>1620</v>
      </c>
      <c r="H12" s="57">
        <v>2168</v>
      </c>
      <c r="I12" s="58"/>
      <c r="J12" s="57"/>
      <c r="K12" s="57"/>
      <c r="L12" s="57"/>
      <c r="M12" s="57"/>
    </row>
    <row r="13" spans="1:13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>
      <c r="A15" s="9" t="s">
        <v>43</v>
      </c>
      <c r="B15" s="56">
        <v>0</v>
      </c>
      <c r="C15" s="56">
        <v>0</v>
      </c>
      <c r="D15" s="56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ht="17.25" customHeight="1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5.75" thickBot="1">
      <c r="A18" s="22" t="s">
        <v>46</v>
      </c>
      <c r="B18" s="59">
        <v>0</v>
      </c>
      <c r="C18" s="59">
        <v>0</v>
      </c>
      <c r="D18" s="59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5.75" thickBot="1">
      <c r="A19" s="43" t="s">
        <v>47</v>
      </c>
      <c r="B19" s="44" t="s">
        <v>55</v>
      </c>
      <c r="C19" s="44" t="s">
        <v>55</v>
      </c>
      <c r="D19" s="44">
        <f>SUM(D5:D18)</f>
        <v>2000</v>
      </c>
      <c r="E19" s="44">
        <f>SUM(E5:E18)</f>
        <v>2000</v>
      </c>
      <c r="F19" s="44">
        <f>SUM(F5:F18)</f>
        <v>2940.2999999999997</v>
      </c>
      <c r="G19" s="44">
        <f>SUM(G5:G18)</f>
        <v>3817.1</v>
      </c>
      <c r="H19" s="44">
        <f>SUM(H5:H18)</f>
        <v>2408.1799999999998</v>
      </c>
      <c r="I19" s="44"/>
      <c r="J19" s="44"/>
      <c r="K19" s="44">
        <v>0</v>
      </c>
      <c r="L19" s="44">
        <v>0</v>
      </c>
      <c r="M19" s="44">
        <v>0</v>
      </c>
    </row>
    <row r="20" spans="1:13" ht="15.75" thickBot="1">
      <c r="A20" s="60" t="s">
        <v>24</v>
      </c>
      <c r="B20" s="45">
        <v>0</v>
      </c>
      <c r="C20" s="56">
        <v>0</v>
      </c>
      <c r="D20" s="56">
        <v>0</v>
      </c>
      <c r="E20" s="56">
        <v>0</v>
      </c>
      <c r="F20" s="56">
        <v>0</v>
      </c>
      <c r="G20" s="56">
        <v>8.8800000000000008</v>
      </c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5.75" thickBot="1">
      <c r="A21" s="43" t="s">
        <v>25</v>
      </c>
      <c r="B21" s="44">
        <v>0</v>
      </c>
      <c r="C21" s="44">
        <v>0</v>
      </c>
      <c r="D21" s="44">
        <f t="shared" ref="D21:M21" si="0">D19-D20</f>
        <v>2000</v>
      </c>
      <c r="E21" s="44">
        <f t="shared" si="0"/>
        <v>2000</v>
      </c>
      <c r="F21" s="44">
        <f t="shared" si="0"/>
        <v>2940.2999999999997</v>
      </c>
      <c r="G21" s="44">
        <f t="shared" si="0"/>
        <v>3808.22</v>
      </c>
      <c r="H21" s="44">
        <f t="shared" si="0"/>
        <v>2408.1799999999998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5.75" thickBot="1">
      <c r="A22" s="60" t="s">
        <v>18</v>
      </c>
      <c r="B22" s="61">
        <f>AVERAGE(B21)</f>
        <v>0</v>
      </c>
      <c r="C22" s="61">
        <f>AVERAGE(B21:C21)</f>
        <v>0</v>
      </c>
      <c r="D22" s="61">
        <f>AVERAGE(B21:D21)</f>
        <v>666.66666666666663</v>
      </c>
      <c r="E22" s="61">
        <f>AVERAGE(B21:E21)</f>
        <v>1000</v>
      </c>
      <c r="F22" s="61">
        <f>AVERAGE(B21:F21)</f>
        <v>1388.06</v>
      </c>
      <c r="G22" s="61">
        <f>AVERAGE(B21:G21)</f>
        <v>1791.4199999999998</v>
      </c>
      <c r="H22" s="61">
        <f>AVERAGE(B21:H21)</f>
        <v>1879.5285714285712</v>
      </c>
      <c r="I22" s="61"/>
      <c r="J22" s="61"/>
      <c r="K22" s="61"/>
      <c r="L22" s="61"/>
      <c r="M22" s="61"/>
    </row>
    <row r="23" spans="1:13" ht="15.7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:N24"/>
  <sheetViews>
    <sheetView topLeftCell="A4" workbookViewId="0">
      <selection activeCell="H22" sqref="H22"/>
    </sheetView>
  </sheetViews>
  <sheetFormatPr defaultRowHeight="12.75"/>
  <cols>
    <col min="1" max="1" width="64.7109375" style="33" customWidth="1"/>
    <col min="2" max="3" width="8.7109375" style="26" customWidth="1"/>
    <col min="4" max="4" width="8.42578125" style="27" customWidth="1"/>
    <col min="5" max="5" width="9.28515625" style="27" customWidth="1"/>
    <col min="6" max="7" width="7.85546875" style="27" bestFit="1" customWidth="1"/>
    <col min="8" max="8" width="8.85546875" style="27" customWidth="1"/>
    <col min="9" max="10" width="7.85546875" style="27" bestFit="1" customWidth="1"/>
    <col min="11" max="12" width="8.28515625" style="27" customWidth="1"/>
    <col min="13" max="13" width="7.85546875" style="27" bestFit="1" customWidth="1"/>
    <col min="14" max="16384" width="9.140625" style="29"/>
  </cols>
  <sheetData>
    <row r="1" spans="1:14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4" ht="21.75" thickBot="1">
      <c r="A2" s="69" t="s">
        <v>82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4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4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4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>
        <v>600</v>
      </c>
      <c r="H5" s="54">
        <v>600</v>
      </c>
      <c r="I5" s="54"/>
      <c r="J5" s="54"/>
      <c r="K5" s="54"/>
      <c r="L5" s="54"/>
      <c r="M5" s="54"/>
    </row>
    <row r="6" spans="1:14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4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4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4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4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4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4" s="34" customFormat="1">
      <c r="A12" s="8" t="s">
        <v>40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7"/>
      <c r="H12" s="57"/>
      <c r="I12" s="58"/>
      <c r="J12" s="57"/>
      <c r="K12" s="57"/>
      <c r="L12" s="57"/>
      <c r="M12" s="57"/>
    </row>
    <row r="13" spans="1:14" s="31" customFormat="1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4" s="34" customFormat="1">
      <c r="A14" s="8" t="s">
        <v>42</v>
      </c>
      <c r="B14" s="56">
        <v>0</v>
      </c>
      <c r="C14" s="54">
        <v>0</v>
      </c>
      <c r="D14" s="56">
        <v>0</v>
      </c>
      <c r="E14" s="57">
        <v>2500</v>
      </c>
      <c r="F14" s="54">
        <v>0</v>
      </c>
      <c r="G14" s="57"/>
      <c r="H14" s="57">
        <v>4000</v>
      </c>
      <c r="I14" s="57"/>
      <c r="J14" s="57"/>
      <c r="K14" s="57"/>
      <c r="L14" s="57"/>
      <c r="M14" s="57"/>
    </row>
    <row r="15" spans="1:14" s="31" customFormat="1">
      <c r="A15" s="9" t="s">
        <v>43</v>
      </c>
      <c r="B15" s="56">
        <v>0</v>
      </c>
      <c r="C15" s="54">
        <v>0</v>
      </c>
      <c r="D15" s="56">
        <v>267.82</v>
      </c>
      <c r="E15" s="56">
        <v>0</v>
      </c>
      <c r="F15" s="56">
        <v>163.06</v>
      </c>
      <c r="G15" s="56">
        <v>276.69</v>
      </c>
      <c r="H15" s="56"/>
      <c r="I15" s="56"/>
      <c r="J15" s="56"/>
      <c r="K15" s="56"/>
      <c r="L15" s="56"/>
      <c r="M15" s="56"/>
    </row>
    <row r="16" spans="1:14" s="31" customFormat="1">
      <c r="A16" s="8" t="s">
        <v>44</v>
      </c>
      <c r="B16" s="56">
        <v>0</v>
      </c>
      <c r="C16" s="54">
        <v>0</v>
      </c>
      <c r="D16" s="57">
        <v>0</v>
      </c>
      <c r="E16" s="57">
        <v>0</v>
      </c>
      <c r="F16" s="54">
        <v>0</v>
      </c>
      <c r="G16" s="57"/>
      <c r="H16" s="57"/>
      <c r="I16" s="57"/>
      <c r="J16" s="57"/>
      <c r="K16" s="57"/>
      <c r="L16" s="57"/>
      <c r="M16" s="57"/>
      <c r="N16" s="68"/>
    </row>
    <row r="17" spans="1:13">
      <c r="A17" s="8" t="s">
        <v>45</v>
      </c>
      <c r="B17" s="56">
        <v>0</v>
      </c>
      <c r="C17" s="54">
        <v>0</v>
      </c>
      <c r="D17" s="57">
        <v>0</v>
      </c>
      <c r="E17" s="57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6">
        <v>0</v>
      </c>
      <c r="C18" s="56">
        <v>450</v>
      </c>
      <c r="D18" s="56">
        <v>240</v>
      </c>
      <c r="E18" s="56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 t="s">
        <v>55</v>
      </c>
      <c r="C19" s="44">
        <f t="shared" ref="C19:H19" si="0">SUM(C5:C18)</f>
        <v>450</v>
      </c>
      <c r="D19" s="44">
        <f t="shared" si="0"/>
        <v>507.82</v>
      </c>
      <c r="E19" s="44">
        <f t="shared" si="0"/>
        <v>2500</v>
      </c>
      <c r="F19" s="44">
        <f t="shared" si="0"/>
        <v>163.06</v>
      </c>
      <c r="G19" s="44">
        <f t="shared" si="0"/>
        <v>876.69</v>
      </c>
      <c r="H19" s="44">
        <f t="shared" si="0"/>
        <v>4600</v>
      </c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0</v>
      </c>
      <c r="C20" s="56">
        <v>0</v>
      </c>
      <c r="D20" s="56">
        <v>0</v>
      </c>
      <c r="E20" s="56">
        <v>0</v>
      </c>
      <c r="F20" s="56">
        <v>0</v>
      </c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v>0</v>
      </c>
      <c r="C21" s="44">
        <f t="shared" ref="C21:M21" si="1">C19-C20</f>
        <v>450</v>
      </c>
      <c r="D21" s="44">
        <f t="shared" si="1"/>
        <v>507.82</v>
      </c>
      <c r="E21" s="44">
        <f t="shared" si="1"/>
        <v>2500</v>
      </c>
      <c r="F21" s="44">
        <f t="shared" si="1"/>
        <v>163.06</v>
      </c>
      <c r="G21" s="44">
        <f t="shared" si="1"/>
        <v>876.69</v>
      </c>
      <c r="H21" s="44">
        <v>4600</v>
      </c>
      <c r="I21" s="44">
        <f t="shared" si="1"/>
        <v>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>
      <c r="A22" s="60" t="s">
        <v>18</v>
      </c>
      <c r="B22" s="61">
        <f>AVERAGE(B21)</f>
        <v>0</v>
      </c>
      <c r="C22" s="61">
        <f>AVERAGE(B21:C21)</f>
        <v>225</v>
      </c>
      <c r="D22" s="61">
        <f>AVERAGE(B21:D21)</f>
        <v>319.27333333333331</v>
      </c>
      <c r="E22" s="61">
        <f>AVERAGE(B21:E21)</f>
        <v>864.45499999999993</v>
      </c>
      <c r="F22" s="61">
        <f>AVERAGE(B21:F21)</f>
        <v>724.17599999999993</v>
      </c>
      <c r="G22" s="61">
        <f>AVERAGE(B21:G21)</f>
        <v>749.59499999999991</v>
      </c>
      <c r="H22" s="61">
        <f>AVERAGE(B21:H21)</f>
        <v>1299.6528571428571</v>
      </c>
      <c r="I22" s="61"/>
      <c r="J22" s="61"/>
      <c r="K22" s="61"/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:M25"/>
  <sheetViews>
    <sheetView topLeftCell="A10" zoomScale="110" zoomScaleNormal="110" workbookViewId="0">
      <selection activeCell="K24" sqref="K24"/>
    </sheetView>
  </sheetViews>
  <sheetFormatPr defaultRowHeight="12.75"/>
  <cols>
    <col min="1" max="1" width="60.140625" style="33" customWidth="1"/>
    <col min="2" max="2" width="8.42578125" style="26" customWidth="1"/>
    <col min="3" max="3" width="8" style="26" bestFit="1" customWidth="1"/>
    <col min="4" max="4" width="8" style="27" bestFit="1" customWidth="1"/>
    <col min="5" max="11" width="7.140625" style="27" customWidth="1"/>
    <col min="12" max="12" width="7.42578125" style="27" customWidth="1"/>
    <col min="13" max="13" width="7.140625" style="27" customWidth="1"/>
    <col min="14" max="16384" width="9.140625" style="29"/>
  </cols>
  <sheetData>
    <row r="1" spans="1:13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83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1" customFormat="1">
      <c r="A12" s="8" t="s">
        <v>40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7"/>
      <c r="H12" s="57"/>
      <c r="I12" s="58"/>
      <c r="J12" s="57"/>
      <c r="K12" s="57"/>
      <c r="L12" s="57"/>
      <c r="M12" s="57"/>
    </row>
    <row r="13" spans="1:13" s="31" customFormat="1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1" customFormat="1">
      <c r="A14" s="8" t="s">
        <v>42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>
      <c r="A15" s="9" t="s">
        <v>43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4">
        <v>0</v>
      </c>
      <c r="C18" s="54">
        <v>0</v>
      </c>
      <c r="D18" s="54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 t="s">
        <v>55</v>
      </c>
      <c r="C19" s="44" t="s">
        <v>55</v>
      </c>
      <c r="D19" s="44" t="s">
        <v>55</v>
      </c>
      <c r="E19" s="44" t="s">
        <v>55</v>
      </c>
      <c r="F19" s="44" t="s">
        <v>55</v>
      </c>
      <c r="G19" s="44" t="s">
        <v>55</v>
      </c>
      <c r="H19" s="44" t="s">
        <v>55</v>
      </c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0</v>
      </c>
      <c r="C20" s="56"/>
      <c r="D20" s="56"/>
      <c r="E20" s="56"/>
      <c r="F20" s="56"/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f t="shared" ref="I21:M21" si="0">I19-I20</f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>
      <c r="A22" s="60" t="s">
        <v>18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  <row r="25" spans="1:13">
      <c r="A25" s="33" t="s">
        <v>88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:M24"/>
  <sheetViews>
    <sheetView topLeftCell="A10" zoomScaleNormal="100" workbookViewId="0">
      <selection activeCell="H23" sqref="H23"/>
    </sheetView>
  </sheetViews>
  <sheetFormatPr defaultRowHeight="12.75"/>
  <cols>
    <col min="1" max="1" width="52.28515625" style="33" customWidth="1"/>
    <col min="2" max="2" width="10.5703125" style="26" customWidth="1"/>
    <col min="3" max="3" width="9" style="26" bestFit="1" customWidth="1"/>
    <col min="4" max="8" width="9" style="27" bestFit="1" customWidth="1"/>
    <col min="9" max="11" width="7.85546875" style="27" bestFit="1" customWidth="1"/>
    <col min="12" max="12" width="8.42578125" style="27" customWidth="1"/>
    <col min="13" max="13" width="7.7109375" style="27" customWidth="1"/>
    <col min="14" max="16384" width="9.140625" style="29"/>
  </cols>
  <sheetData>
    <row r="1" spans="1:13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84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>
      <c r="A11" s="7" t="s">
        <v>39</v>
      </c>
      <c r="B11" s="56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>
      <c r="A12" s="8" t="s">
        <v>40</v>
      </c>
      <c r="B12" s="56">
        <v>3500</v>
      </c>
      <c r="C12" s="54">
        <v>0</v>
      </c>
      <c r="D12" s="54">
        <v>0</v>
      </c>
      <c r="E12" s="57">
        <v>2700</v>
      </c>
      <c r="F12" s="57">
        <v>3100</v>
      </c>
      <c r="G12" s="57">
        <v>3000</v>
      </c>
      <c r="H12" s="57">
        <v>3100</v>
      </c>
      <c r="I12" s="58"/>
      <c r="J12" s="57"/>
      <c r="K12" s="57"/>
      <c r="L12" s="57"/>
      <c r="M12" s="57"/>
    </row>
    <row r="13" spans="1:13" s="31" customFormat="1">
      <c r="A13" s="8" t="s">
        <v>41</v>
      </c>
      <c r="B13" s="56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 ht="25.5">
      <c r="A14" s="8" t="s">
        <v>42</v>
      </c>
      <c r="B14" s="56">
        <v>0</v>
      </c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>
      <c r="A15" s="9" t="s">
        <v>43</v>
      </c>
      <c r="B15" s="56">
        <v>0</v>
      </c>
      <c r="C15" s="56">
        <v>0</v>
      </c>
      <c r="D15" s="56">
        <v>2007.3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 ht="25.5">
      <c r="A16" s="8" t="s">
        <v>44</v>
      </c>
      <c r="B16" s="56">
        <v>0</v>
      </c>
      <c r="C16" s="56">
        <v>0</v>
      </c>
      <c r="D16" s="57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>
        <v>0</v>
      </c>
      <c r="C17" s="56">
        <v>0</v>
      </c>
      <c r="D17" s="57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0</v>
      </c>
      <c r="C18" s="56"/>
      <c r="D18" s="56">
        <v>0</v>
      </c>
      <c r="E18" s="56">
        <v>1800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>
        <f>SUM(B5:B18)</f>
        <v>3500</v>
      </c>
      <c r="C19" s="44"/>
      <c r="D19" s="44">
        <f>SUM(D5:D18)</f>
        <v>2007.3</v>
      </c>
      <c r="E19" s="44">
        <f>SUM(E5:E18)</f>
        <v>4500</v>
      </c>
      <c r="F19" s="44">
        <f>SUM(F5:F18)</f>
        <v>3100</v>
      </c>
      <c r="G19" s="44">
        <f>SUM(G5:G18)</f>
        <v>3000</v>
      </c>
      <c r="H19" s="44">
        <f>SUM(H5:H18)</f>
        <v>3100</v>
      </c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1500</v>
      </c>
      <c r="C20" s="56">
        <v>0</v>
      </c>
      <c r="D20" s="56">
        <v>7.3</v>
      </c>
      <c r="E20" s="56">
        <v>0</v>
      </c>
      <c r="F20" s="56">
        <v>0</v>
      </c>
      <c r="G20" s="56">
        <v>0</v>
      </c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f>B19-B20</f>
        <v>2000</v>
      </c>
      <c r="C21" s="44">
        <f t="shared" ref="C21:M21" si="0">C19-C20</f>
        <v>0</v>
      </c>
      <c r="D21" s="44">
        <f t="shared" si="0"/>
        <v>2000</v>
      </c>
      <c r="E21" s="44">
        <f t="shared" si="0"/>
        <v>4500</v>
      </c>
      <c r="F21" s="44">
        <f t="shared" si="0"/>
        <v>3100</v>
      </c>
      <c r="G21" s="44">
        <f t="shared" si="0"/>
        <v>3000</v>
      </c>
      <c r="H21" s="44">
        <f t="shared" si="0"/>
        <v>3100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>
      <c r="A22" s="60" t="s">
        <v>18</v>
      </c>
      <c r="B22" s="61">
        <f>AVERAGE(B21)</f>
        <v>2000</v>
      </c>
      <c r="C22" s="61">
        <f>AVERAGE(B21:C21)</f>
        <v>1000</v>
      </c>
      <c r="D22" s="61">
        <f>AVERAGE(B21:D21)</f>
        <v>1333.3333333333333</v>
      </c>
      <c r="E22" s="61">
        <f>AVERAGE(B21:E21)</f>
        <v>2125</v>
      </c>
      <c r="F22" s="61">
        <f>AVERAGE(B21:F21)</f>
        <v>2320</v>
      </c>
      <c r="G22" s="61">
        <f>AVERAGE(B21:G21)</f>
        <v>2433.3333333333335</v>
      </c>
      <c r="H22" s="61">
        <f>AVERAGE(B21:H21)</f>
        <v>2528.5714285714284</v>
      </c>
      <c r="I22" s="61"/>
      <c r="J22" s="61"/>
      <c r="K22" s="61"/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:M24"/>
  <sheetViews>
    <sheetView topLeftCell="A10" zoomScaleNormal="100" workbookViewId="0">
      <selection activeCell="J16" sqref="J16"/>
    </sheetView>
  </sheetViews>
  <sheetFormatPr defaultRowHeight="12.75"/>
  <cols>
    <col min="1" max="1" width="64.140625" style="33" customWidth="1"/>
    <col min="2" max="2" width="10.28515625" style="26" customWidth="1"/>
    <col min="3" max="3" width="9" style="26" bestFit="1" customWidth="1"/>
    <col min="4" max="8" width="9" style="27" bestFit="1" customWidth="1"/>
    <col min="9" max="13" width="7.85546875" style="27" bestFit="1" customWidth="1"/>
    <col min="14" max="16384" width="9.140625" style="29"/>
  </cols>
  <sheetData>
    <row r="1" spans="1:13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86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1800</v>
      </c>
      <c r="G5" s="54">
        <v>1800</v>
      </c>
      <c r="H5" s="54">
        <v>1800</v>
      </c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/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/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/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/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/>
      <c r="G10" s="54"/>
      <c r="H10" s="54"/>
      <c r="I10" s="54"/>
      <c r="J10" s="54"/>
      <c r="K10" s="54"/>
      <c r="L10" s="54"/>
      <c r="M10" s="54"/>
    </row>
    <row r="11" spans="1:13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6"/>
      <c r="G11" s="56"/>
      <c r="H11" s="56"/>
      <c r="I11" s="56"/>
      <c r="J11" s="56"/>
      <c r="K11" s="56"/>
      <c r="L11" s="56"/>
      <c r="M11" s="56"/>
    </row>
    <row r="12" spans="1:13" s="34" customFormat="1">
      <c r="A12" s="8" t="s">
        <v>40</v>
      </c>
      <c r="B12" s="56">
        <v>3000</v>
      </c>
      <c r="C12" s="56">
        <v>2000</v>
      </c>
      <c r="D12" s="57">
        <v>2214.33</v>
      </c>
      <c r="E12" s="57">
        <f>2142.9+3200.1</f>
        <v>5343</v>
      </c>
      <c r="F12" s="57">
        <v>3306.77</v>
      </c>
      <c r="G12" s="57">
        <v>3200.1</v>
      </c>
      <c r="H12" s="57">
        <v>3306.77</v>
      </c>
      <c r="I12" s="58"/>
      <c r="J12" s="57"/>
      <c r="K12" s="57"/>
      <c r="L12" s="57"/>
      <c r="M12" s="57"/>
    </row>
    <row r="13" spans="1:13" s="31" customFormat="1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7"/>
      <c r="G13" s="57"/>
      <c r="H13" s="57"/>
      <c r="I13" s="57"/>
      <c r="J13" s="57"/>
      <c r="K13" s="57"/>
      <c r="L13" s="57"/>
      <c r="M13" s="57"/>
    </row>
    <row r="14" spans="1:13" s="34" customFormat="1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7"/>
      <c r="G14" s="57"/>
      <c r="H14" s="57"/>
      <c r="I14" s="57"/>
      <c r="J14" s="57"/>
      <c r="K14" s="57"/>
      <c r="L14" s="57"/>
      <c r="M14" s="57"/>
    </row>
    <row r="15" spans="1:13" s="31" customFormat="1">
      <c r="A15" s="9" t="s">
        <v>43</v>
      </c>
      <c r="B15" s="56">
        <v>389.49</v>
      </c>
      <c r="C15" s="56">
        <v>0</v>
      </c>
      <c r="D15" s="56">
        <v>0</v>
      </c>
      <c r="E15" s="54">
        <v>0</v>
      </c>
      <c r="F15" s="56">
        <v>379.2</v>
      </c>
      <c r="G15" s="56"/>
      <c r="H15" s="56"/>
      <c r="I15" s="56"/>
      <c r="J15" s="56"/>
      <c r="K15" s="56"/>
      <c r="L15" s="56"/>
      <c r="M15" s="56"/>
    </row>
    <row r="16" spans="1:13" s="31" customFormat="1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7"/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7"/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0</v>
      </c>
      <c r="C18" s="56">
        <v>0</v>
      </c>
      <c r="D18" s="56">
        <v>0</v>
      </c>
      <c r="E18" s="54">
        <v>0</v>
      </c>
      <c r="F18" s="56"/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>
        <f t="shared" ref="B19:H19" si="0">SUM(B5:B18)</f>
        <v>3389.49</v>
      </c>
      <c r="C19" s="44">
        <f t="shared" si="0"/>
        <v>2000</v>
      </c>
      <c r="D19" s="44">
        <f t="shared" si="0"/>
        <v>2214.33</v>
      </c>
      <c r="E19" s="44">
        <f t="shared" si="0"/>
        <v>5343</v>
      </c>
      <c r="F19" s="44">
        <f t="shared" si="0"/>
        <v>5485.97</v>
      </c>
      <c r="G19" s="44">
        <f t="shared" si="0"/>
        <v>5000.1000000000004</v>
      </c>
      <c r="H19" s="44">
        <f t="shared" si="0"/>
        <v>5106.7700000000004</v>
      </c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1389.49</v>
      </c>
      <c r="C20" s="56"/>
      <c r="D20" s="56">
        <v>214.33</v>
      </c>
      <c r="E20" s="56">
        <v>743</v>
      </c>
      <c r="F20" s="56">
        <f>F19-4600</f>
        <v>885.97000000000025</v>
      </c>
      <c r="G20" s="56">
        <v>400.1</v>
      </c>
      <c r="H20" s="56">
        <v>506.77</v>
      </c>
      <c r="I20" s="56"/>
      <c r="J20" s="56"/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f>B19-B20</f>
        <v>1999.9999999999998</v>
      </c>
      <c r="C21" s="44">
        <f t="shared" ref="C21:M21" si="1">C19-C20</f>
        <v>2000</v>
      </c>
      <c r="D21" s="44">
        <f t="shared" si="1"/>
        <v>2000</v>
      </c>
      <c r="E21" s="44">
        <f t="shared" si="1"/>
        <v>4600</v>
      </c>
      <c r="F21" s="44">
        <f t="shared" si="1"/>
        <v>4600</v>
      </c>
      <c r="G21" s="44">
        <f t="shared" si="1"/>
        <v>4600</v>
      </c>
      <c r="H21" s="44">
        <f t="shared" si="1"/>
        <v>4600</v>
      </c>
      <c r="I21" s="44">
        <f t="shared" si="1"/>
        <v>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>
      <c r="A22" s="60" t="s">
        <v>18</v>
      </c>
      <c r="B22" s="61">
        <f>AVERAGE(B21)</f>
        <v>1999.9999999999998</v>
      </c>
      <c r="C22" s="61">
        <f>AVERAGE(B21:C21)</f>
        <v>2000</v>
      </c>
      <c r="D22" s="61">
        <f>AVERAGE(B21:D21)</f>
        <v>2000</v>
      </c>
      <c r="E22" s="61">
        <f>AVERAGE(B21:E21)</f>
        <v>2650</v>
      </c>
      <c r="F22" s="61">
        <f>AVERAGE(B21:F21)</f>
        <v>3040</v>
      </c>
      <c r="G22" s="61">
        <f>AVERAGE(B21:G21)</f>
        <v>3300</v>
      </c>
      <c r="H22" s="61">
        <f>AVERAGE(B21:H21)</f>
        <v>3485.7142857142858</v>
      </c>
      <c r="I22" s="61"/>
      <c r="J22" s="61"/>
      <c r="K22" s="61"/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:M24"/>
  <sheetViews>
    <sheetView tabSelected="1" topLeftCell="A7" workbookViewId="0">
      <selection activeCell="D28" sqref="D28"/>
    </sheetView>
  </sheetViews>
  <sheetFormatPr defaultRowHeight="15"/>
  <cols>
    <col min="1" max="1" width="63" customWidth="1"/>
    <col min="2" max="2" width="9.5703125" bestFit="1" customWidth="1"/>
  </cols>
  <sheetData>
    <row r="1" spans="1:13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87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2400</v>
      </c>
      <c r="C5" s="54">
        <v>2400</v>
      </c>
      <c r="D5" s="54">
        <v>2400</v>
      </c>
      <c r="E5" s="54">
        <v>2400</v>
      </c>
      <c r="F5" s="54">
        <v>2400</v>
      </c>
      <c r="G5" s="54">
        <v>2400</v>
      </c>
      <c r="H5" s="54">
        <v>2400</v>
      </c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>
      <c r="A12" s="8" t="s">
        <v>40</v>
      </c>
      <c r="B12" s="56">
        <v>0</v>
      </c>
      <c r="C12" s="56">
        <v>0</v>
      </c>
      <c r="D12" s="56">
        <v>0</v>
      </c>
      <c r="E12" s="57">
        <v>2340</v>
      </c>
      <c r="F12" s="57">
        <v>2340</v>
      </c>
      <c r="G12" s="57">
        <v>2340</v>
      </c>
      <c r="H12" s="57">
        <v>2340</v>
      </c>
      <c r="I12" s="58"/>
      <c r="J12" s="57"/>
      <c r="K12" s="57"/>
      <c r="L12" s="57"/>
      <c r="M12" s="57"/>
    </row>
    <row r="13" spans="1:13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>
      <c r="A15" s="9" t="s">
        <v>43</v>
      </c>
      <c r="B15" s="56">
        <v>0</v>
      </c>
      <c r="C15" s="56">
        <v>0</v>
      </c>
      <c r="D15" s="56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5.75" thickBot="1">
      <c r="A18" s="22" t="s">
        <v>46</v>
      </c>
      <c r="B18" s="59">
        <v>0</v>
      </c>
      <c r="C18" s="59">
        <v>0</v>
      </c>
      <c r="D18" s="59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5.75" thickBot="1">
      <c r="A19" s="43" t="s">
        <v>47</v>
      </c>
      <c r="B19" s="44">
        <f t="shared" ref="B19:H19" si="0">SUM(B5:B18)</f>
        <v>2400</v>
      </c>
      <c r="C19" s="44">
        <f t="shared" si="0"/>
        <v>2400</v>
      </c>
      <c r="D19" s="44">
        <f t="shared" si="0"/>
        <v>2400</v>
      </c>
      <c r="E19" s="44">
        <f t="shared" si="0"/>
        <v>4740</v>
      </c>
      <c r="F19" s="44">
        <f t="shared" si="0"/>
        <v>4740</v>
      </c>
      <c r="G19" s="44">
        <f t="shared" si="0"/>
        <v>4740</v>
      </c>
      <c r="H19" s="44">
        <f t="shared" si="0"/>
        <v>4740</v>
      </c>
      <c r="I19" s="44"/>
      <c r="J19" s="44"/>
      <c r="K19" s="44">
        <v>0</v>
      </c>
      <c r="L19" s="44">
        <v>0</v>
      </c>
      <c r="M19" s="44">
        <v>0</v>
      </c>
    </row>
    <row r="20" spans="1:13" ht="15.75" thickBot="1">
      <c r="A20" s="60" t="s">
        <v>24</v>
      </c>
      <c r="B20" s="45">
        <v>400</v>
      </c>
      <c r="C20" s="56">
        <v>400</v>
      </c>
      <c r="D20" s="56">
        <v>400</v>
      </c>
      <c r="E20" s="56">
        <v>140</v>
      </c>
      <c r="F20" s="56">
        <v>140</v>
      </c>
      <c r="G20" s="56">
        <v>140</v>
      </c>
      <c r="H20" s="56">
        <v>140</v>
      </c>
      <c r="I20" s="56"/>
      <c r="J20" s="56"/>
      <c r="K20" s="56">
        <v>0</v>
      </c>
      <c r="L20" s="56">
        <v>0</v>
      </c>
      <c r="M20" s="56">
        <v>0</v>
      </c>
    </row>
    <row r="21" spans="1:13" ht="15.75" thickBot="1">
      <c r="A21" s="43" t="s">
        <v>25</v>
      </c>
      <c r="B21" s="44">
        <f>B19-B20</f>
        <v>2000</v>
      </c>
      <c r="C21" s="44">
        <f t="shared" ref="C21:M21" si="1">C19-C20</f>
        <v>2000</v>
      </c>
      <c r="D21" s="44">
        <f t="shared" si="1"/>
        <v>2000</v>
      </c>
      <c r="E21" s="44">
        <f t="shared" si="1"/>
        <v>4600</v>
      </c>
      <c r="F21" s="44">
        <f t="shared" si="1"/>
        <v>4600</v>
      </c>
      <c r="G21" s="44">
        <f t="shared" si="1"/>
        <v>4600</v>
      </c>
      <c r="H21" s="44">
        <f t="shared" si="1"/>
        <v>4600</v>
      </c>
      <c r="I21" s="44">
        <f t="shared" si="1"/>
        <v>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5.75" thickBot="1">
      <c r="A22" s="60" t="s">
        <v>18</v>
      </c>
      <c r="B22" s="61">
        <f>AVERAGE(B21)</f>
        <v>2000</v>
      </c>
      <c r="C22" s="61">
        <f>AVERAGE(B21:C21)</f>
        <v>2000</v>
      </c>
      <c r="D22" s="61">
        <f>AVERAGE(B21:D21)</f>
        <v>2000</v>
      </c>
      <c r="E22" s="61">
        <f>AVERAGE(B21:E21)</f>
        <v>2650</v>
      </c>
      <c r="F22" s="61">
        <f>AVERAGE(B21:F21)</f>
        <v>3040</v>
      </c>
      <c r="G22" s="61">
        <f>AVERAGE(B21:G21)</f>
        <v>3300</v>
      </c>
      <c r="H22" s="61">
        <f>AVERAGE(B21:H21)</f>
        <v>3485.7142857142858</v>
      </c>
      <c r="I22" s="61"/>
      <c r="J22" s="61"/>
      <c r="K22" s="61"/>
      <c r="L22" s="61"/>
      <c r="M22" s="61"/>
    </row>
    <row r="23" spans="1:13" ht="15.7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4"/>
  <sheetViews>
    <sheetView topLeftCell="A7" zoomScaleNormal="100" workbookViewId="0">
      <selection activeCell="H22" sqref="H22"/>
    </sheetView>
  </sheetViews>
  <sheetFormatPr defaultRowHeight="12"/>
  <cols>
    <col min="1" max="1" width="46.5703125" style="3" customWidth="1"/>
    <col min="2" max="3" width="9" style="11" bestFit="1" customWidth="1"/>
    <col min="4" max="8" width="9" style="12" bestFit="1" customWidth="1"/>
    <col min="9" max="13" width="7.85546875" style="12" bestFit="1" customWidth="1"/>
    <col min="14" max="16384" width="9.140625" style="4"/>
  </cols>
  <sheetData>
    <row r="1" spans="1:13" s="1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48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ht="12.75">
      <c r="A5" s="7" t="s">
        <v>33</v>
      </c>
      <c r="B5" s="54">
        <v>1500</v>
      </c>
      <c r="C5" s="54">
        <v>1500</v>
      </c>
      <c r="D5" s="54">
        <v>1500</v>
      </c>
      <c r="E5" s="54">
        <v>1500</v>
      </c>
      <c r="F5" s="54">
        <v>1500</v>
      </c>
      <c r="G5" s="54">
        <v>1500</v>
      </c>
      <c r="H5" s="54">
        <v>1500</v>
      </c>
      <c r="I5" s="54"/>
      <c r="J5" s="54"/>
      <c r="K5" s="54"/>
      <c r="L5" s="54"/>
      <c r="M5" s="54"/>
    </row>
    <row r="6" spans="1:13" ht="12.75">
      <c r="A6" s="55" t="s">
        <v>34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3" ht="12.75">
      <c r="A7" s="55" t="s">
        <v>35</v>
      </c>
      <c r="B7" s="54">
        <v>0</v>
      </c>
      <c r="C7" s="54">
        <v>144.08000000000001</v>
      </c>
      <c r="D7" s="54">
        <v>203.68</v>
      </c>
      <c r="E7" s="54">
        <v>200.09</v>
      </c>
      <c r="F7" s="54">
        <v>166.21</v>
      </c>
      <c r="G7" s="54">
        <v>163.96</v>
      </c>
      <c r="H7" s="54">
        <v>152.83000000000001</v>
      </c>
      <c r="I7" s="54"/>
      <c r="J7" s="54"/>
      <c r="K7" s="54"/>
      <c r="L7" s="54"/>
      <c r="M7" s="54"/>
    </row>
    <row r="8" spans="1:13" ht="12.75">
      <c r="A8" s="55" t="s">
        <v>36</v>
      </c>
      <c r="B8" s="54">
        <v>75.5</v>
      </c>
      <c r="C8" s="54">
        <v>75.5</v>
      </c>
      <c r="D8" s="54">
        <v>75.5</v>
      </c>
      <c r="E8" s="54">
        <v>81.36</v>
      </c>
      <c r="F8" s="54">
        <v>81.36</v>
      </c>
      <c r="G8" s="54">
        <v>81.36</v>
      </c>
      <c r="H8" s="54">
        <v>81.36</v>
      </c>
      <c r="I8" s="54"/>
      <c r="J8" s="54"/>
      <c r="K8" s="54"/>
      <c r="L8" s="54"/>
      <c r="M8" s="54"/>
    </row>
    <row r="9" spans="1:13" ht="12.75">
      <c r="A9" s="55" t="s">
        <v>37</v>
      </c>
      <c r="B9" s="54">
        <v>0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</row>
    <row r="10" spans="1:13" ht="15.75" customHeight="1">
      <c r="A10" s="55" t="s">
        <v>38</v>
      </c>
      <c r="B10" s="54">
        <v>0</v>
      </c>
      <c r="C10" s="54">
        <v>207.32</v>
      </c>
      <c r="D10" s="54">
        <v>193.22</v>
      </c>
      <c r="E10" s="54">
        <v>180.55</v>
      </c>
      <c r="F10" s="54">
        <v>173.23</v>
      </c>
      <c r="G10" s="54">
        <v>180.83</v>
      </c>
      <c r="H10" s="54">
        <v>162.49</v>
      </c>
      <c r="I10" s="54"/>
      <c r="J10" s="54"/>
      <c r="K10" s="54"/>
      <c r="L10" s="54"/>
      <c r="M10" s="54"/>
    </row>
    <row r="11" spans="1:13" s="13" customFormat="1" ht="12.75">
      <c r="A11" s="7" t="s">
        <v>39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</row>
    <row r="12" spans="1:13" s="6" customFormat="1" ht="12.75">
      <c r="A12" s="8" t="s">
        <v>40</v>
      </c>
      <c r="B12" s="56">
        <v>0</v>
      </c>
      <c r="C12" s="56"/>
      <c r="D12" s="57"/>
      <c r="E12" s="57">
        <v>2800</v>
      </c>
      <c r="F12" s="57">
        <v>2800</v>
      </c>
      <c r="G12" s="57">
        <v>2800</v>
      </c>
      <c r="H12" s="57">
        <v>2800</v>
      </c>
      <c r="I12" s="58"/>
      <c r="J12" s="57"/>
      <c r="K12" s="57"/>
      <c r="L12" s="57"/>
      <c r="M12" s="57"/>
    </row>
    <row r="13" spans="1:13" s="13" customFormat="1" ht="12.75">
      <c r="A13" s="8" t="s">
        <v>41</v>
      </c>
      <c r="B13" s="56">
        <v>0</v>
      </c>
      <c r="C13" s="56"/>
      <c r="D13" s="57"/>
      <c r="E13" s="57"/>
      <c r="F13" s="57"/>
      <c r="G13" s="57"/>
      <c r="H13" s="57"/>
      <c r="I13" s="57"/>
      <c r="J13" s="57"/>
      <c r="K13" s="57"/>
      <c r="L13" s="57"/>
      <c r="M13" s="57"/>
    </row>
    <row r="14" spans="1:13" s="6" customFormat="1" ht="25.5">
      <c r="A14" s="8" t="s">
        <v>42</v>
      </c>
      <c r="B14" s="56"/>
      <c r="C14" s="56"/>
      <c r="D14" s="57"/>
      <c r="E14" s="57"/>
      <c r="F14" s="57"/>
      <c r="G14" s="57"/>
      <c r="H14" s="57"/>
      <c r="I14" s="57"/>
      <c r="J14" s="57"/>
      <c r="K14" s="57"/>
      <c r="L14" s="57"/>
      <c r="M14" s="57"/>
    </row>
    <row r="15" spans="1:13" s="6" customFormat="1" ht="12.75">
      <c r="A15" s="9" t="s">
        <v>43</v>
      </c>
      <c r="B15" s="56">
        <f>321.42+15.6</f>
        <v>337.02000000000004</v>
      </c>
      <c r="C15" s="56"/>
      <c r="D15" s="56">
        <f>157.17+127.46</f>
        <v>284.63</v>
      </c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25.5">
      <c r="A16" s="8" t="s">
        <v>44</v>
      </c>
      <c r="B16" s="56"/>
      <c r="C16" s="56"/>
      <c r="D16" s="57"/>
      <c r="E16" s="57"/>
      <c r="F16" s="57"/>
      <c r="G16" s="57"/>
      <c r="H16" s="57"/>
      <c r="I16" s="57"/>
      <c r="J16" s="57"/>
      <c r="K16" s="57"/>
      <c r="L16" s="57"/>
      <c r="M16" s="57"/>
    </row>
    <row r="17" spans="1:13" ht="12.75">
      <c r="A17" s="8" t="s">
        <v>45</v>
      </c>
      <c r="B17" s="56"/>
      <c r="C17" s="56"/>
      <c r="D17" s="57"/>
      <c r="E17" s="57"/>
      <c r="F17" s="57"/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0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>
        <f t="shared" ref="B19:H19" si="0">SUM(B5:B18)</f>
        <v>1912.52</v>
      </c>
      <c r="C19" s="44">
        <f t="shared" si="0"/>
        <v>1926.8999999999999</v>
      </c>
      <c r="D19" s="44">
        <f t="shared" si="0"/>
        <v>2257.0300000000002</v>
      </c>
      <c r="E19" s="44">
        <f t="shared" si="0"/>
        <v>4762</v>
      </c>
      <c r="F19" s="44">
        <f t="shared" si="0"/>
        <v>4720.8</v>
      </c>
      <c r="G19" s="44">
        <f t="shared" si="0"/>
        <v>4726.1499999999996</v>
      </c>
      <c r="H19" s="44">
        <f t="shared" si="0"/>
        <v>4696.68</v>
      </c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1</v>
      </c>
      <c r="C20" s="56">
        <v>39.020000000000003</v>
      </c>
      <c r="D20" s="56">
        <v>257.02999999999997</v>
      </c>
      <c r="E20" s="56">
        <v>162</v>
      </c>
      <c r="F20" s="56">
        <v>120.8</v>
      </c>
      <c r="G20" s="56">
        <v>126.15</v>
      </c>
      <c r="H20" s="56">
        <v>96.68</v>
      </c>
      <c r="I20" s="56"/>
      <c r="J20" s="56"/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f>B19-B20</f>
        <v>1911.52</v>
      </c>
      <c r="C21" s="44">
        <f t="shared" ref="C21:M21" si="1">C19-C20</f>
        <v>1887.8799999999999</v>
      </c>
      <c r="D21" s="44">
        <f t="shared" si="1"/>
        <v>2000.0000000000002</v>
      </c>
      <c r="E21" s="44">
        <f t="shared" si="1"/>
        <v>4600</v>
      </c>
      <c r="F21" s="44">
        <f t="shared" si="1"/>
        <v>4600</v>
      </c>
      <c r="G21" s="44">
        <f t="shared" si="1"/>
        <v>4600</v>
      </c>
      <c r="H21" s="44">
        <v>4600</v>
      </c>
      <c r="I21" s="44">
        <f t="shared" si="1"/>
        <v>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>
      <c r="A22" s="60" t="s">
        <v>18</v>
      </c>
      <c r="B22" s="61">
        <f>AVERAGE(B21)</f>
        <v>1911.52</v>
      </c>
      <c r="C22" s="61">
        <f>AVERAGE(B21:C21)</f>
        <v>1899.6999999999998</v>
      </c>
      <c r="D22" s="61">
        <f>AVERAGE(B21:D21)</f>
        <v>1933.1333333333332</v>
      </c>
      <c r="E22" s="61">
        <f>AVERAGE(B21:E21)</f>
        <v>2599.85</v>
      </c>
      <c r="F22" s="61">
        <f>AVERAGE(B21:F21)</f>
        <v>2999.88</v>
      </c>
      <c r="G22" s="61">
        <f>AVERAGE(B21:G21)</f>
        <v>3266.5666666666671</v>
      </c>
      <c r="H22" s="61">
        <f>AVERAGE(B21:H21)</f>
        <v>3457.0571428571429</v>
      </c>
      <c r="I22" s="61"/>
      <c r="J22" s="61"/>
      <c r="K22" s="61"/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J3:J4"/>
    <mergeCell ref="K3:K4"/>
    <mergeCell ref="L3:L4"/>
    <mergeCell ref="M3:M4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>
  <dimension ref="A1:M16"/>
  <sheetViews>
    <sheetView topLeftCell="A7" zoomScaleNormal="100" workbookViewId="0">
      <selection activeCell="G18" sqref="G18"/>
    </sheetView>
  </sheetViews>
  <sheetFormatPr defaultRowHeight="15"/>
  <cols>
    <col min="1" max="1" width="26.7109375" customWidth="1"/>
    <col min="2" max="2" width="10" customWidth="1"/>
    <col min="3" max="3" width="5.42578125" customWidth="1"/>
    <col min="4" max="4" width="6.5703125" customWidth="1"/>
    <col min="5" max="5" width="7.7109375" customWidth="1"/>
    <col min="6" max="6" width="9.140625" customWidth="1"/>
    <col min="7" max="7" width="14.42578125" customWidth="1"/>
    <col min="8" max="8" width="14.140625" customWidth="1"/>
    <col min="9" max="9" width="11.42578125" customWidth="1"/>
  </cols>
  <sheetData>
    <row r="1" spans="1:13" ht="33" customHeight="1" thickBot="1">
      <c r="A1" s="78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>
      <c r="A2" s="80" t="s">
        <v>0</v>
      </c>
      <c r="B2" s="82" t="s">
        <v>1</v>
      </c>
      <c r="C2" s="76" t="s">
        <v>2</v>
      </c>
      <c r="D2" s="76" t="s">
        <v>3</v>
      </c>
      <c r="E2" s="76" t="s">
        <v>4</v>
      </c>
      <c r="F2" s="76" t="s">
        <v>5</v>
      </c>
      <c r="G2" s="76" t="s">
        <v>6</v>
      </c>
      <c r="H2" s="76" t="s">
        <v>7</v>
      </c>
      <c r="I2" s="76" t="s">
        <v>8</v>
      </c>
      <c r="J2" s="76" t="s">
        <v>9</v>
      </c>
      <c r="K2" s="76" t="s">
        <v>10</v>
      </c>
      <c r="L2" s="76" t="s">
        <v>11</v>
      </c>
      <c r="M2" s="76" t="s">
        <v>12</v>
      </c>
    </row>
    <row r="3" spans="1:13" ht="27" customHeight="1" thickBot="1">
      <c r="A3" s="81"/>
      <c r="B3" s="83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ht="24.75" customHeight="1">
      <c r="A4" s="7" t="s">
        <v>29</v>
      </c>
      <c r="B4" s="15">
        <v>0</v>
      </c>
      <c r="C4" s="15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/>
      <c r="K4" s="16">
        <v>0</v>
      </c>
      <c r="L4" s="16">
        <v>0</v>
      </c>
      <c r="M4" s="16">
        <v>0</v>
      </c>
    </row>
    <row r="5" spans="1:13" ht="46.5" customHeight="1">
      <c r="A5" s="8" t="s">
        <v>13</v>
      </c>
      <c r="B5" s="15">
        <v>0</v>
      </c>
      <c r="C5" s="15">
        <v>0</v>
      </c>
      <c r="D5" s="15">
        <v>0</v>
      </c>
      <c r="E5" s="15">
        <v>0</v>
      </c>
      <c r="F5" s="15">
        <v>0</v>
      </c>
      <c r="G5" s="15">
        <v>0</v>
      </c>
      <c r="H5" s="15"/>
      <c r="I5" s="15"/>
      <c r="J5" s="15">
        <v>0</v>
      </c>
      <c r="K5" s="15">
        <v>0</v>
      </c>
      <c r="L5" s="15">
        <v>0</v>
      </c>
      <c r="M5" s="15">
        <v>0</v>
      </c>
    </row>
    <row r="6" spans="1:13" ht="38.25" customHeight="1">
      <c r="A6" s="8" t="s">
        <v>14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</row>
    <row r="7" spans="1:13" ht="42" customHeight="1">
      <c r="A7" s="8" t="s">
        <v>16</v>
      </c>
      <c r="B7" s="15">
        <v>0</v>
      </c>
      <c r="C7" s="15">
        <v>0</v>
      </c>
      <c r="D7" s="15"/>
      <c r="E7" s="15"/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</row>
    <row r="8" spans="1:13" ht="41.25" customHeight="1">
      <c r="A8" s="9" t="s">
        <v>22</v>
      </c>
      <c r="B8" s="15">
        <v>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</row>
    <row r="9" spans="1:13" ht="39" customHeight="1">
      <c r="A9" s="8" t="s">
        <v>23</v>
      </c>
      <c r="B9" s="15">
        <v>0</v>
      </c>
      <c r="C9" s="15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/>
      <c r="J9" s="16">
        <v>0</v>
      </c>
      <c r="K9" s="16">
        <v>0</v>
      </c>
      <c r="L9" s="16">
        <v>0</v>
      </c>
      <c r="M9" s="16">
        <v>0</v>
      </c>
    </row>
    <row r="10" spans="1:13" ht="36.75" customHeight="1">
      <c r="A10" s="8" t="s">
        <v>17</v>
      </c>
      <c r="B10" s="15">
        <v>0</v>
      </c>
      <c r="C10" s="15">
        <v>0</v>
      </c>
      <c r="D10" s="16">
        <v>0</v>
      </c>
      <c r="E10" s="16"/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</row>
    <row r="11" spans="1:13" ht="43.5" customHeight="1">
      <c r="A11" s="8" t="s">
        <v>21</v>
      </c>
      <c r="B11" s="15"/>
      <c r="C11" s="15"/>
      <c r="D11" s="16">
        <v>0</v>
      </c>
      <c r="E11" s="16">
        <v>0</v>
      </c>
      <c r="F11" s="16">
        <v>0</v>
      </c>
      <c r="G11" s="16"/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</row>
    <row r="12" spans="1:13" ht="17.25">
      <c r="A12" s="38" t="s">
        <v>20</v>
      </c>
      <c r="B12" s="39">
        <f>SUM(B4:B11)</f>
        <v>0</v>
      </c>
      <c r="C12" s="39">
        <f t="shared" ref="C12:M12" si="0">SUM(C4:C11)</f>
        <v>0</v>
      </c>
      <c r="D12" s="39">
        <f t="shared" si="0"/>
        <v>0</v>
      </c>
      <c r="E12" s="39">
        <f t="shared" si="0"/>
        <v>0</v>
      </c>
      <c r="F12" s="39">
        <f t="shared" si="0"/>
        <v>0</v>
      </c>
      <c r="G12" s="39">
        <f t="shared" si="0"/>
        <v>0</v>
      </c>
      <c r="H12" s="39">
        <f t="shared" si="0"/>
        <v>0</v>
      </c>
      <c r="I12" s="39">
        <f t="shared" si="0"/>
        <v>0</v>
      </c>
      <c r="J12" s="39">
        <f t="shared" si="0"/>
        <v>0</v>
      </c>
      <c r="K12" s="39">
        <f t="shared" si="0"/>
        <v>0</v>
      </c>
      <c r="L12" s="39">
        <f t="shared" si="0"/>
        <v>0</v>
      </c>
      <c r="M12" s="39">
        <f t="shared" si="0"/>
        <v>0</v>
      </c>
    </row>
    <row r="13" spans="1:13" ht="17.25">
      <c r="A13" s="10" t="s">
        <v>24</v>
      </c>
      <c r="B13" s="36">
        <v>0</v>
      </c>
      <c r="C13" s="36">
        <v>0</v>
      </c>
      <c r="D13" s="37">
        <v>0</v>
      </c>
      <c r="E13" s="37">
        <v>0</v>
      </c>
      <c r="F13" s="37">
        <v>0</v>
      </c>
      <c r="G13" s="37"/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</row>
    <row r="14" spans="1:13" ht="17.25">
      <c r="A14" s="38" t="s">
        <v>25</v>
      </c>
      <c r="B14" s="39">
        <f>B12-B13</f>
        <v>0</v>
      </c>
      <c r="C14" s="39">
        <f t="shared" ref="C14:M14" si="1">C12-C13</f>
        <v>0</v>
      </c>
      <c r="D14" s="39">
        <f t="shared" si="1"/>
        <v>0</v>
      </c>
      <c r="E14" s="39">
        <f t="shared" si="1"/>
        <v>0</v>
      </c>
      <c r="F14" s="39">
        <f t="shared" si="1"/>
        <v>0</v>
      </c>
      <c r="G14" s="39">
        <f t="shared" si="1"/>
        <v>0</v>
      </c>
      <c r="H14" s="39">
        <f t="shared" si="1"/>
        <v>0</v>
      </c>
      <c r="I14" s="39">
        <f t="shared" si="1"/>
        <v>0</v>
      </c>
      <c r="J14" s="39">
        <f t="shared" si="1"/>
        <v>0</v>
      </c>
      <c r="K14" s="39">
        <f t="shared" si="1"/>
        <v>0</v>
      </c>
      <c r="L14" s="39">
        <f t="shared" si="1"/>
        <v>0</v>
      </c>
      <c r="M14" s="39">
        <f t="shared" si="1"/>
        <v>0</v>
      </c>
    </row>
    <row r="15" spans="1:13" ht="17.25">
      <c r="A15" s="10" t="s">
        <v>18</v>
      </c>
      <c r="B15" s="21">
        <f>B14/1</f>
        <v>0</v>
      </c>
      <c r="C15" s="21">
        <f>C14/2</f>
        <v>0</v>
      </c>
      <c r="D15" s="21">
        <f>D14/3</f>
        <v>0</v>
      </c>
      <c r="E15" s="21">
        <f>E14/4</f>
        <v>0</v>
      </c>
      <c r="F15" s="21">
        <f>F14/5</f>
        <v>0</v>
      </c>
      <c r="G15" s="21">
        <f>G14/6</f>
        <v>0</v>
      </c>
      <c r="H15" s="21">
        <f>H14/7</f>
        <v>0</v>
      </c>
      <c r="I15" s="21">
        <f>I14/8</f>
        <v>0</v>
      </c>
      <c r="J15" s="21">
        <f>J14/9</f>
        <v>0</v>
      </c>
      <c r="K15" s="21">
        <f>K14/10</f>
        <v>0</v>
      </c>
      <c r="L15" s="21">
        <f>L14/11</f>
        <v>0</v>
      </c>
      <c r="M15" s="21">
        <f>M14/12</f>
        <v>0</v>
      </c>
    </row>
    <row r="16" spans="1:13" ht="16.5" thickBot="1">
      <c r="A16" s="52" t="s">
        <v>19</v>
      </c>
      <c r="B16" s="50">
        <f>B14/1</f>
        <v>0</v>
      </c>
      <c r="C16" s="50">
        <f>(B14+C14)/2</f>
        <v>0</v>
      </c>
      <c r="D16" s="51">
        <f>(B14+C14+D14)/3</f>
        <v>0</v>
      </c>
      <c r="E16" s="51">
        <f>(B14+C14+D14+E14)/4</f>
        <v>0</v>
      </c>
      <c r="F16" s="51">
        <f>(B14+C14+D14+E14+F14)/5</f>
        <v>0</v>
      </c>
      <c r="G16" s="51">
        <f>(B14+C14+D14+E14+F14+G14)/6</f>
        <v>0</v>
      </c>
      <c r="H16" s="51">
        <f>(B14+C14+D14+E14+F14+G14+H14)/7</f>
        <v>0</v>
      </c>
      <c r="I16" s="51">
        <f>(B14+C14+D14+E14+F14+G14+H14+I14)/8</f>
        <v>0</v>
      </c>
      <c r="J16" s="51">
        <f>(B14+C14+D14+E14+F14+G14+H14+I14+J14)/9</f>
        <v>0</v>
      </c>
      <c r="K16" s="51">
        <f>(B14+C14+D14+E14+F14+G14+H14+I14+J14+K14)/10</f>
        <v>0</v>
      </c>
      <c r="L16" s="51">
        <f>(G14+F14+E14+D14+C14+B14+H14+I14+J14+K14+L14)/11</f>
        <v>0</v>
      </c>
      <c r="M16" s="51">
        <f>(H14+G14+F14+E14+D14+C14+B14+I14+J14+K14+L14+M14)/12</f>
        <v>0</v>
      </c>
    </row>
  </sheetData>
  <mergeCells count="14">
    <mergeCell ref="L2:L3"/>
    <mergeCell ref="M2:M3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1:M16"/>
  <sheetViews>
    <sheetView topLeftCell="A10" workbookViewId="0">
      <selection activeCell="E20" sqref="E20"/>
    </sheetView>
  </sheetViews>
  <sheetFormatPr defaultRowHeight="15"/>
  <cols>
    <col min="1" max="1" width="22.140625" customWidth="1"/>
    <col min="2" max="2" width="9.5703125" bestFit="1" customWidth="1"/>
    <col min="8" max="8" width="9.140625" customWidth="1"/>
    <col min="9" max="9" width="9.5703125" customWidth="1"/>
  </cols>
  <sheetData>
    <row r="1" spans="1:13" ht="58.5" customHeight="1" thickBot="1">
      <c r="A1" s="84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</row>
    <row r="2" spans="1:13">
      <c r="A2" s="80" t="s">
        <v>0</v>
      </c>
      <c r="B2" s="82" t="s">
        <v>1</v>
      </c>
      <c r="C2" s="76" t="s">
        <v>2</v>
      </c>
      <c r="D2" s="76" t="s">
        <v>3</v>
      </c>
      <c r="E2" s="76" t="s">
        <v>4</v>
      </c>
      <c r="F2" s="76" t="s">
        <v>5</v>
      </c>
      <c r="G2" s="76" t="s">
        <v>6</v>
      </c>
      <c r="H2" s="76" t="s">
        <v>7</v>
      </c>
      <c r="I2" s="76" t="s">
        <v>8</v>
      </c>
      <c r="J2" s="76" t="s">
        <v>9</v>
      </c>
      <c r="K2" s="76" t="s">
        <v>10</v>
      </c>
      <c r="L2" s="76" t="s">
        <v>11</v>
      </c>
      <c r="M2" s="76" t="s">
        <v>12</v>
      </c>
    </row>
    <row r="3" spans="1:13" ht="15.75" customHeight="1" thickBot="1">
      <c r="A3" s="81"/>
      <c r="B3" s="83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ht="57" customHeight="1">
      <c r="A4" s="7" t="s">
        <v>28</v>
      </c>
      <c r="B4" s="15">
        <v>0</v>
      </c>
      <c r="C4" s="15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/>
      <c r="K4" s="16">
        <v>0</v>
      </c>
      <c r="L4" s="16">
        <v>0</v>
      </c>
      <c r="M4" s="16">
        <v>0</v>
      </c>
    </row>
    <row r="5" spans="1:13" ht="39.75" customHeight="1">
      <c r="A5" s="8" t="s">
        <v>13</v>
      </c>
      <c r="B5" s="15"/>
      <c r="C5" s="15"/>
      <c r="D5" s="15"/>
      <c r="E5" s="15"/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</row>
    <row r="6" spans="1:13" ht="42" customHeight="1">
      <c r="A6" s="8" t="s">
        <v>14</v>
      </c>
      <c r="B6" s="15">
        <v>0</v>
      </c>
      <c r="C6" s="15">
        <v>0</v>
      </c>
      <c r="D6" s="15">
        <v>0</v>
      </c>
      <c r="E6" s="15"/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</row>
    <row r="7" spans="1:13" ht="2.25" customHeight="1">
      <c r="A7" s="8" t="s">
        <v>16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</row>
    <row r="8" spans="1:13" ht="33" customHeight="1">
      <c r="A8" s="9" t="s">
        <v>22</v>
      </c>
      <c r="B8" s="15"/>
      <c r="C8" s="15"/>
      <c r="D8" s="15">
        <v>0</v>
      </c>
      <c r="E8" s="15"/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</row>
    <row r="9" spans="1:13" ht="61.5" customHeight="1">
      <c r="A9" s="8" t="s">
        <v>23</v>
      </c>
      <c r="B9" s="15">
        <v>0</v>
      </c>
      <c r="C9" s="15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</row>
    <row r="10" spans="1:13" ht="30.75" customHeight="1">
      <c r="A10" s="8" t="s">
        <v>17</v>
      </c>
      <c r="B10" s="15">
        <v>0</v>
      </c>
      <c r="C10" s="15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</row>
    <row r="11" spans="1:13" ht="43.5" customHeight="1">
      <c r="A11" s="8" t="s">
        <v>21</v>
      </c>
      <c r="B11" s="15"/>
      <c r="C11" s="15"/>
      <c r="D11" s="16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</row>
    <row r="12" spans="1:13">
      <c r="A12" s="46" t="s">
        <v>20</v>
      </c>
      <c r="B12" s="39">
        <f t="shared" ref="B12:M12" si="0">SUM(B4:B11)</f>
        <v>0</v>
      </c>
      <c r="C12" s="39">
        <f t="shared" si="0"/>
        <v>0</v>
      </c>
      <c r="D12" s="39">
        <f t="shared" si="0"/>
        <v>0</v>
      </c>
      <c r="E12" s="39">
        <f t="shared" si="0"/>
        <v>0</v>
      </c>
      <c r="F12" s="39">
        <f t="shared" si="0"/>
        <v>0</v>
      </c>
      <c r="G12" s="39">
        <f t="shared" si="0"/>
        <v>0</v>
      </c>
      <c r="H12" s="39">
        <f t="shared" si="0"/>
        <v>0</v>
      </c>
      <c r="I12" s="39">
        <f t="shared" si="0"/>
        <v>0</v>
      </c>
      <c r="J12" s="39">
        <f t="shared" si="0"/>
        <v>0</v>
      </c>
      <c r="K12" s="39">
        <f t="shared" si="0"/>
        <v>0</v>
      </c>
      <c r="L12" s="39">
        <f t="shared" si="0"/>
        <v>0</v>
      </c>
      <c r="M12" s="39">
        <f t="shared" si="0"/>
        <v>0</v>
      </c>
    </row>
    <row r="13" spans="1:13">
      <c r="A13" s="48" t="s">
        <v>24</v>
      </c>
      <c r="B13" s="36"/>
      <c r="C13" s="36"/>
      <c r="D13" s="37"/>
      <c r="E13" s="37"/>
      <c r="F13" s="37"/>
      <c r="G13" s="37"/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</row>
    <row r="14" spans="1:13">
      <c r="A14" s="46" t="s">
        <v>25</v>
      </c>
      <c r="B14" s="39">
        <f t="shared" ref="B14:M14" si="1">B12-B13</f>
        <v>0</v>
      </c>
      <c r="C14" s="39">
        <f t="shared" si="1"/>
        <v>0</v>
      </c>
      <c r="D14" s="39">
        <f t="shared" si="1"/>
        <v>0</v>
      </c>
      <c r="E14" s="39">
        <f t="shared" si="1"/>
        <v>0</v>
      </c>
      <c r="F14" s="39">
        <f t="shared" si="1"/>
        <v>0</v>
      </c>
      <c r="G14" s="39">
        <f t="shared" si="1"/>
        <v>0</v>
      </c>
      <c r="H14" s="39">
        <f t="shared" si="1"/>
        <v>0</v>
      </c>
      <c r="I14" s="39">
        <f t="shared" si="1"/>
        <v>0</v>
      </c>
      <c r="J14" s="39">
        <f t="shared" si="1"/>
        <v>0</v>
      </c>
      <c r="K14" s="39">
        <f t="shared" si="1"/>
        <v>0</v>
      </c>
      <c r="L14" s="39">
        <f t="shared" si="1"/>
        <v>0</v>
      </c>
      <c r="M14" s="39">
        <f t="shared" si="1"/>
        <v>0</v>
      </c>
    </row>
    <row r="15" spans="1:13">
      <c r="A15" s="47" t="s">
        <v>18</v>
      </c>
      <c r="B15" s="36">
        <f>B14/1</f>
        <v>0</v>
      </c>
      <c r="C15" s="36">
        <f>C14/2</f>
        <v>0</v>
      </c>
      <c r="D15" s="36">
        <f>D14/3</f>
        <v>0</v>
      </c>
      <c r="E15" s="36">
        <f>E14/4</f>
        <v>0</v>
      </c>
      <c r="F15" s="36">
        <f>F14/1</f>
        <v>0</v>
      </c>
      <c r="G15" s="36">
        <f>G14/2</f>
        <v>0</v>
      </c>
      <c r="H15" s="36">
        <f>H14/3</f>
        <v>0</v>
      </c>
      <c r="I15" s="36">
        <f>I14/4</f>
        <v>0</v>
      </c>
      <c r="J15" s="36">
        <f>J14/9</f>
        <v>0</v>
      </c>
      <c r="K15" s="36">
        <f>K14/10</f>
        <v>0</v>
      </c>
      <c r="L15" s="36">
        <f>L14/11</f>
        <v>0</v>
      </c>
      <c r="M15" s="36">
        <f>M14/12</f>
        <v>0</v>
      </c>
    </row>
    <row r="16" spans="1:13" ht="18.75" customHeight="1" thickBot="1">
      <c r="A16" s="53" t="s">
        <v>18</v>
      </c>
      <c r="B16" s="50">
        <f>B14/1</f>
        <v>0</v>
      </c>
      <c r="C16" s="50">
        <f>(B14+C14)/2</f>
        <v>0</v>
      </c>
      <c r="D16" s="51">
        <f>(B14+C14+D14)/3</f>
        <v>0</v>
      </c>
      <c r="E16" s="51">
        <f>(B14+C14+D14+E14)/4</f>
        <v>0</v>
      </c>
      <c r="F16" s="51">
        <f>(B14+C14+D14+E14+F14)/1</f>
        <v>0</v>
      </c>
      <c r="G16" s="51">
        <f>(B14+C14+D14+E14+F14+G14)/2</f>
        <v>0</v>
      </c>
      <c r="H16" s="51">
        <f>(B14+C14+D14+E14+F14+G14+H14)/3</f>
        <v>0</v>
      </c>
      <c r="I16" s="51">
        <f>(B14+C14+D14+E14+F14+G14+H14+I14)/4</f>
        <v>0</v>
      </c>
      <c r="J16" s="51">
        <f>(B14+C14+D14+E14+F14+G14+H14+I14+J14)/9</f>
        <v>0</v>
      </c>
      <c r="K16" s="51">
        <f>(B14+C14+D14+E14+F14+G14+H14+I14+J14+K14)/10</f>
        <v>0</v>
      </c>
      <c r="L16" s="51">
        <f>(G14+F14+E14+D14+C14+B14+H14+I14+J14+K14+L14)/11</f>
        <v>0</v>
      </c>
      <c r="M16" s="51">
        <f>(H14+G14+F14+E14+D14+C14+B14+I14+J14+K14+L14+M14)/12</f>
        <v>0</v>
      </c>
    </row>
  </sheetData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ageMargins left="0" right="0" top="0" bottom="0" header="0.31496062992125984" footer="0.31496062992125984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>
  <dimension ref="A1:O22"/>
  <sheetViews>
    <sheetView topLeftCell="A13" zoomScale="120" zoomScaleNormal="120" workbookViewId="0">
      <selection activeCell="B22" sqref="B22"/>
    </sheetView>
  </sheetViews>
  <sheetFormatPr defaultRowHeight="12.75"/>
  <cols>
    <col min="1" max="1" width="40.7109375" style="33" customWidth="1"/>
    <col min="2" max="3" width="7.85546875" style="26" bestFit="1" customWidth="1"/>
    <col min="4" max="13" width="7.85546875" style="27" bestFit="1" customWidth="1"/>
    <col min="14" max="16384" width="9.140625" style="29"/>
  </cols>
  <sheetData>
    <row r="1" spans="1:15" s="28" customFormat="1" ht="21.75" thickBot="1">
      <c r="A1" s="78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5" ht="15" customHeight="1">
      <c r="A2" s="80" t="s">
        <v>0</v>
      </c>
      <c r="B2" s="82" t="s">
        <v>1</v>
      </c>
      <c r="C2" s="76" t="s">
        <v>2</v>
      </c>
      <c r="D2" s="76" t="s">
        <v>3</v>
      </c>
      <c r="E2" s="76" t="s">
        <v>4</v>
      </c>
      <c r="F2" s="76" t="s">
        <v>5</v>
      </c>
      <c r="G2" s="76" t="s">
        <v>6</v>
      </c>
      <c r="H2" s="76" t="s">
        <v>7</v>
      </c>
      <c r="I2" s="76" t="s">
        <v>8</v>
      </c>
      <c r="J2" s="76" t="s">
        <v>9</v>
      </c>
      <c r="K2" s="76" t="s">
        <v>10</v>
      </c>
      <c r="L2" s="76" t="s">
        <v>11</v>
      </c>
      <c r="M2" s="76" t="s">
        <v>12</v>
      </c>
    </row>
    <row r="3" spans="1:15" s="30" customFormat="1" ht="12" thickBot="1">
      <c r="A3" s="81"/>
      <c r="B3" s="83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5" ht="89.25">
      <c r="A4" s="7" t="s">
        <v>15</v>
      </c>
      <c r="B4" s="15">
        <v>0</v>
      </c>
      <c r="C4" s="15"/>
      <c r="D4" s="16"/>
      <c r="E4" s="16"/>
      <c r="F4" s="16"/>
      <c r="G4" s="16"/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</row>
    <row r="5" spans="1:15" ht="63.75">
      <c r="A5" s="8" t="s">
        <v>13</v>
      </c>
      <c r="B5" s="15"/>
      <c r="C5" s="15"/>
      <c r="D5" s="16"/>
      <c r="E5" s="16"/>
      <c r="F5" s="16"/>
      <c r="G5" s="16"/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</row>
    <row r="6" spans="1:15" ht="38.25">
      <c r="A6" s="8" t="s">
        <v>14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</row>
    <row r="7" spans="1:15" ht="63.75">
      <c r="A7" s="8" t="s">
        <v>16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</row>
    <row r="8" spans="1:15" ht="25.5">
      <c r="A8" s="9" t="s">
        <v>22</v>
      </c>
      <c r="B8" s="15">
        <v>0</v>
      </c>
      <c r="C8" s="15"/>
      <c r="D8" s="15"/>
      <c r="E8" s="15"/>
      <c r="F8" s="15"/>
      <c r="G8" s="15"/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</row>
    <row r="9" spans="1:15" ht="38.25">
      <c r="A9" s="8" t="s">
        <v>23</v>
      </c>
      <c r="B9" s="15">
        <v>0</v>
      </c>
      <c r="C9" s="15"/>
      <c r="D9" s="15"/>
      <c r="E9" s="15"/>
      <c r="F9" s="15"/>
      <c r="G9" s="15"/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</row>
    <row r="10" spans="1:15" ht="38.25">
      <c r="A10" s="8" t="s">
        <v>17</v>
      </c>
      <c r="B10" s="15"/>
      <c r="C10" s="15"/>
      <c r="D10" s="15"/>
      <c r="E10" s="15"/>
      <c r="F10" s="15"/>
      <c r="G10" s="15"/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O10" s="29" t="s">
        <v>27</v>
      </c>
    </row>
    <row r="11" spans="1:15" ht="51.75" thickBot="1">
      <c r="A11" s="22" t="s">
        <v>21</v>
      </c>
      <c r="B11" s="15">
        <v>0</v>
      </c>
      <c r="C11" s="15"/>
      <c r="D11" s="15"/>
      <c r="E11" s="15"/>
      <c r="F11" s="15"/>
      <c r="G11" s="15"/>
      <c r="H11" s="15">
        <v>0</v>
      </c>
      <c r="I11" s="15">
        <v>0</v>
      </c>
      <c r="J11" s="15">
        <v>0</v>
      </c>
      <c r="K11" s="15">
        <v>0</v>
      </c>
      <c r="L11" s="15"/>
      <c r="M11" s="15">
        <v>0</v>
      </c>
    </row>
    <row r="12" spans="1:15" s="34" customFormat="1" ht="18" thickBot="1">
      <c r="A12" s="25" t="s">
        <v>20</v>
      </c>
      <c r="B12" s="18">
        <f>SUM(B4:B11)</f>
        <v>0</v>
      </c>
      <c r="C12" s="18">
        <f t="shared" ref="C12:M12" si="0">SUM(C4:C11)</f>
        <v>0</v>
      </c>
      <c r="D12" s="18">
        <f t="shared" si="0"/>
        <v>0</v>
      </c>
      <c r="E12" s="18">
        <f t="shared" si="0"/>
        <v>0</v>
      </c>
      <c r="F12" s="18">
        <f t="shared" si="0"/>
        <v>0</v>
      </c>
      <c r="G12" s="18">
        <f t="shared" si="0"/>
        <v>0</v>
      </c>
      <c r="H12" s="18">
        <f t="shared" si="0"/>
        <v>0</v>
      </c>
      <c r="I12" s="18">
        <f t="shared" si="0"/>
        <v>0</v>
      </c>
      <c r="J12" s="18">
        <f t="shared" si="0"/>
        <v>0</v>
      </c>
      <c r="K12" s="18">
        <f t="shared" si="0"/>
        <v>0</v>
      </c>
      <c r="L12" s="18">
        <f t="shared" si="0"/>
        <v>0</v>
      </c>
      <c r="M12" s="18">
        <f t="shared" si="0"/>
        <v>0</v>
      </c>
    </row>
    <row r="13" spans="1:15" s="31" customFormat="1" ht="18" thickBot="1">
      <c r="A13" s="24" t="s">
        <v>24</v>
      </c>
      <c r="B13" s="19">
        <v>0</v>
      </c>
      <c r="C13" s="19">
        <v>0</v>
      </c>
      <c r="D13" s="20">
        <v>0</v>
      </c>
      <c r="E13" s="20">
        <v>0</v>
      </c>
      <c r="F13" s="20">
        <v>0</v>
      </c>
      <c r="G13" s="20"/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</row>
    <row r="14" spans="1:15" s="34" customFormat="1" ht="18" thickBot="1">
      <c r="A14" s="25" t="s">
        <v>25</v>
      </c>
      <c r="B14" s="18">
        <f>B12-B13</f>
        <v>0</v>
      </c>
      <c r="C14" s="18">
        <f t="shared" ref="C14:M14" si="1">C12-C13</f>
        <v>0</v>
      </c>
      <c r="D14" s="18"/>
      <c r="E14" s="18">
        <f t="shared" si="1"/>
        <v>0</v>
      </c>
      <c r="F14" s="18">
        <f t="shared" si="1"/>
        <v>0</v>
      </c>
      <c r="G14" s="18">
        <f t="shared" si="1"/>
        <v>0</v>
      </c>
      <c r="H14" s="18">
        <f t="shared" si="1"/>
        <v>0</v>
      </c>
      <c r="I14" s="18">
        <f t="shared" si="1"/>
        <v>0</v>
      </c>
      <c r="J14" s="18">
        <f t="shared" si="1"/>
        <v>0</v>
      </c>
      <c r="K14" s="18">
        <f t="shared" si="1"/>
        <v>0</v>
      </c>
      <c r="L14" s="18">
        <f t="shared" si="1"/>
        <v>0</v>
      </c>
      <c r="M14" s="18">
        <f t="shared" si="1"/>
        <v>0</v>
      </c>
    </row>
    <row r="15" spans="1:15" s="31" customFormat="1" ht="17.25">
      <c r="A15" s="23" t="s">
        <v>18</v>
      </c>
      <c r="B15" s="17">
        <f>B14/1</f>
        <v>0</v>
      </c>
      <c r="C15" s="21">
        <f>C14/2</f>
        <v>0</v>
      </c>
      <c r="D15" s="21">
        <f>D14/3</f>
        <v>0</v>
      </c>
      <c r="E15" s="21">
        <f>E14/4</f>
        <v>0</v>
      </c>
      <c r="F15" s="21">
        <f>F14/5</f>
        <v>0</v>
      </c>
      <c r="G15" s="21">
        <f>G14/6</f>
        <v>0</v>
      </c>
      <c r="H15" s="21">
        <f>H14/7</f>
        <v>0</v>
      </c>
      <c r="I15" s="21">
        <f>I14/8</f>
        <v>0</v>
      </c>
      <c r="J15" s="21">
        <f>J14/9</f>
        <v>0</v>
      </c>
      <c r="K15" s="21">
        <f>K14/10</f>
        <v>0</v>
      </c>
      <c r="L15" s="21">
        <f>L14/11</f>
        <v>0</v>
      </c>
      <c r="M15" s="21">
        <f>M14/12</f>
        <v>0</v>
      </c>
    </row>
    <row r="16" spans="1:15" s="31" customFormat="1" ht="18" thickBot="1">
      <c r="A16" s="49" t="s">
        <v>19</v>
      </c>
      <c r="B16" s="50">
        <f>B14/1</f>
        <v>0</v>
      </c>
      <c r="C16" s="50">
        <f>(B14+C14)/2</f>
        <v>0</v>
      </c>
      <c r="D16" s="51">
        <f>(B14+C14+D14)/3</f>
        <v>0</v>
      </c>
      <c r="E16" s="51">
        <f>(B14+C14+D14+E14)/4</f>
        <v>0</v>
      </c>
      <c r="F16" s="51">
        <f>(B14+C14+D14+E14+F14)/5</f>
        <v>0</v>
      </c>
      <c r="G16" s="51">
        <f>(B14+C14+D14+E14+F14+G14)/6</f>
        <v>0</v>
      </c>
      <c r="H16" s="51">
        <f>(B14+C14+D14+E14+F14+G14+H14)/7</f>
        <v>0</v>
      </c>
      <c r="I16" s="51">
        <f>(B14+C14+D14+E14+F14+G14+H14+I14)/8</f>
        <v>0</v>
      </c>
      <c r="J16" s="51">
        <f>(B14+C14+D14+E14+F14+G14+H14+I14+J14)/9</f>
        <v>0</v>
      </c>
      <c r="K16" s="51">
        <f>(B14+C14+D14+E14+F14+G14+H14+I14+J14+K14)/10</f>
        <v>0</v>
      </c>
      <c r="L16" s="51">
        <f>(G14+F14+E14+D14+C14+B14+H14+I14+J14+K14+L14)/11</f>
        <v>0</v>
      </c>
      <c r="M16" s="51">
        <f>(H14+G14+F14+E14+D14+C14+B14+I14+J14+K14+L14+M14)/12</f>
        <v>0</v>
      </c>
    </row>
    <row r="22" spans="1:1">
      <c r="A22" s="32"/>
    </row>
  </sheetData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P16" sqref="P16"/>
    </sheetView>
  </sheetViews>
  <sheetFormatPr defaultRowHeight="12.75"/>
  <cols>
    <col min="1" max="1" width="40.42578125" style="33" customWidth="1"/>
    <col min="2" max="3" width="7.85546875" style="26" bestFit="1" customWidth="1"/>
    <col min="4" max="13" width="7.85546875" style="27" bestFit="1" customWidth="1"/>
    <col min="14" max="16384" width="9.140625" style="29"/>
  </cols>
  <sheetData>
    <row r="1" spans="1:13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15" customHeight="1" thickBot="1">
      <c r="A2" s="69" t="s">
        <v>32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800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3" ht="25.5">
      <c r="A6" s="55" t="s">
        <v>34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125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3" ht="25.5">
      <c r="A8" s="55" t="s">
        <v>36</v>
      </c>
      <c r="B8" s="54">
        <v>48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</row>
    <row r="9" spans="1:13" ht="25.5">
      <c r="A9" s="55" t="s">
        <v>37</v>
      </c>
      <c r="B9" s="54">
        <v>59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</row>
    <row r="10" spans="1:13" ht="25.5">
      <c r="A10" s="55" t="s">
        <v>38</v>
      </c>
      <c r="B10" s="54">
        <v>120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</row>
    <row r="11" spans="1:13" ht="25.5">
      <c r="A11" s="7" t="s">
        <v>39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</row>
    <row r="12" spans="1:13" s="34" customFormat="1">
      <c r="A12" s="8" t="s">
        <v>40</v>
      </c>
      <c r="B12" s="56">
        <v>1000</v>
      </c>
      <c r="C12" s="56"/>
      <c r="D12" s="57"/>
      <c r="E12" s="57"/>
      <c r="F12" s="57"/>
      <c r="G12" s="57"/>
      <c r="H12" s="57"/>
      <c r="I12" s="58"/>
      <c r="J12" s="57"/>
      <c r="K12" s="57"/>
      <c r="L12" s="57"/>
      <c r="M12" s="57"/>
    </row>
    <row r="13" spans="1:13" s="31" customFormat="1">
      <c r="A13" s="8" t="s">
        <v>41</v>
      </c>
      <c r="B13" s="56">
        <v>325</v>
      </c>
      <c r="C13" s="56"/>
      <c r="D13" s="57"/>
      <c r="E13" s="57"/>
      <c r="F13" s="57"/>
      <c r="G13" s="57"/>
      <c r="H13" s="57"/>
      <c r="I13" s="57"/>
      <c r="J13" s="57"/>
      <c r="K13" s="57"/>
      <c r="L13" s="57"/>
      <c r="M13" s="57"/>
    </row>
    <row r="14" spans="1:13" s="34" customFormat="1" ht="25.5">
      <c r="A14" s="8" t="s">
        <v>42</v>
      </c>
      <c r="B14" s="56"/>
      <c r="C14" s="56"/>
      <c r="D14" s="57"/>
      <c r="E14" s="57"/>
      <c r="F14" s="57"/>
      <c r="G14" s="57"/>
      <c r="H14" s="57"/>
      <c r="I14" s="57"/>
      <c r="J14" s="57"/>
      <c r="K14" s="57"/>
      <c r="L14" s="57"/>
      <c r="M14" s="57"/>
    </row>
    <row r="15" spans="1:13" s="31" customFormat="1">
      <c r="A15" s="9" t="s">
        <v>43</v>
      </c>
      <c r="B15" s="56">
        <v>86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s="31" customFormat="1" ht="25.5">
      <c r="A16" s="8" t="s">
        <v>44</v>
      </c>
      <c r="B16" s="56"/>
      <c r="C16" s="56"/>
      <c r="D16" s="57"/>
      <c r="E16" s="57"/>
      <c r="F16" s="57"/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/>
      <c r="C17" s="56"/>
      <c r="D17" s="57"/>
      <c r="E17" s="57"/>
      <c r="F17" s="57"/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200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>
        <f>SUM(B5:B18)</f>
        <v>2763</v>
      </c>
      <c r="C19" s="44"/>
      <c r="D19" s="44"/>
      <c r="E19" s="44"/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f>763+492.33</f>
        <v>1255.33</v>
      </c>
      <c r="C20" s="56"/>
      <c r="D20" s="56"/>
      <c r="E20" s="56"/>
      <c r="F20" s="56"/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f>B19-B20</f>
        <v>1507.67</v>
      </c>
      <c r="C21" s="44">
        <f t="shared" ref="C21:M21" si="0">C19-C20</f>
        <v>0</v>
      </c>
      <c r="D21" s="44">
        <f t="shared" si="0"/>
        <v>0</v>
      </c>
      <c r="E21" s="44">
        <f t="shared" si="0"/>
        <v>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>
      <c r="A22" s="60" t="s">
        <v>18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>
  <dimension ref="A1:M22"/>
  <sheetViews>
    <sheetView zoomScale="110" zoomScaleNormal="110" workbookViewId="0">
      <selection activeCell="D12" sqref="D12"/>
    </sheetView>
  </sheetViews>
  <sheetFormatPr defaultRowHeight="12.75"/>
  <cols>
    <col min="1" max="1" width="41.85546875" style="33" customWidth="1"/>
    <col min="2" max="3" width="7.85546875" style="26" bestFit="1" customWidth="1"/>
    <col min="4" max="10" width="7.85546875" style="27" bestFit="1" customWidth="1"/>
    <col min="11" max="12" width="8.28515625" style="27" customWidth="1"/>
    <col min="13" max="13" width="7.85546875" style="27" bestFit="1" customWidth="1"/>
    <col min="14" max="16384" width="9.140625" style="29"/>
  </cols>
  <sheetData>
    <row r="1" spans="1:13" s="28" customFormat="1" ht="21.75" thickBot="1">
      <c r="A1" s="78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5" customHeight="1">
      <c r="A2" s="80" t="s">
        <v>0</v>
      </c>
      <c r="B2" s="82" t="s">
        <v>1</v>
      </c>
      <c r="C2" s="76" t="s">
        <v>2</v>
      </c>
      <c r="D2" s="76" t="s">
        <v>3</v>
      </c>
      <c r="E2" s="76" t="s">
        <v>4</v>
      </c>
      <c r="F2" s="76" t="s">
        <v>5</v>
      </c>
      <c r="G2" s="76" t="s">
        <v>6</v>
      </c>
      <c r="H2" s="76" t="s">
        <v>7</v>
      </c>
      <c r="I2" s="76" t="s">
        <v>8</v>
      </c>
      <c r="J2" s="76" t="s">
        <v>9</v>
      </c>
      <c r="K2" s="76" t="s">
        <v>10</v>
      </c>
      <c r="L2" s="76" t="s">
        <v>11</v>
      </c>
      <c r="M2" s="76" t="s">
        <v>12</v>
      </c>
    </row>
    <row r="3" spans="1:13" s="30" customFormat="1" ht="12" thickBot="1">
      <c r="A3" s="81"/>
      <c r="B3" s="83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ht="89.25">
      <c r="A4" s="7" t="s">
        <v>15</v>
      </c>
      <c r="B4" s="15">
        <v>0</v>
      </c>
      <c r="C4" s="15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/>
      <c r="K4" s="16">
        <v>0</v>
      </c>
      <c r="L4" s="16">
        <v>0</v>
      </c>
      <c r="M4" s="16">
        <v>0</v>
      </c>
    </row>
    <row r="5" spans="1:13" ht="58.5" customHeight="1">
      <c r="A5" s="8" t="s">
        <v>13</v>
      </c>
      <c r="B5" s="15">
        <v>0</v>
      </c>
      <c r="C5" s="15">
        <v>0</v>
      </c>
      <c r="D5" s="15">
        <v>0</v>
      </c>
      <c r="E5" s="15">
        <v>0</v>
      </c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</row>
    <row r="6" spans="1:13" ht="38.25">
      <c r="A6" s="8" t="s">
        <v>14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</row>
    <row r="7" spans="1:13" ht="51">
      <c r="A7" s="8" t="s">
        <v>16</v>
      </c>
      <c r="B7" s="15"/>
      <c r="C7" s="15"/>
      <c r="D7" s="15"/>
      <c r="E7" s="15"/>
      <c r="F7" s="15"/>
      <c r="G7" s="15"/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</row>
    <row r="8" spans="1:13" ht="25.5">
      <c r="A8" s="9" t="s">
        <v>22</v>
      </c>
      <c r="B8" s="15"/>
      <c r="C8" s="15"/>
      <c r="D8" s="15"/>
      <c r="E8" s="15"/>
      <c r="F8" s="15"/>
      <c r="G8" s="15"/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</row>
    <row r="9" spans="1:13" ht="38.25">
      <c r="A9" s="8" t="s">
        <v>23</v>
      </c>
      <c r="B9" s="15">
        <v>0</v>
      </c>
      <c r="C9" s="15"/>
      <c r="D9" s="16"/>
      <c r="E9" s="16"/>
      <c r="F9" s="16"/>
      <c r="G9" s="16"/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</row>
    <row r="10" spans="1:13" ht="38.25">
      <c r="A10" s="8" t="s">
        <v>17</v>
      </c>
      <c r="B10" s="15"/>
      <c r="C10" s="15"/>
      <c r="D10" s="16"/>
      <c r="E10" s="16"/>
      <c r="F10" s="16"/>
      <c r="G10" s="16"/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</row>
    <row r="11" spans="1:13" ht="51">
      <c r="A11" s="8" t="s">
        <v>21</v>
      </c>
      <c r="B11" s="15"/>
      <c r="C11" s="15"/>
      <c r="D11" s="16"/>
      <c r="E11" s="16"/>
      <c r="F11" s="16"/>
      <c r="G11" s="16"/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</row>
    <row r="12" spans="1:13" s="34" customFormat="1" ht="17.25">
      <c r="A12" s="38" t="s">
        <v>20</v>
      </c>
      <c r="B12" s="39">
        <f>SUM(B4:B11)</f>
        <v>0</v>
      </c>
      <c r="C12" s="39">
        <f t="shared" ref="C12:M12" si="0">SUM(C4:C11)</f>
        <v>0</v>
      </c>
      <c r="D12" s="39">
        <f t="shared" si="0"/>
        <v>0</v>
      </c>
      <c r="E12" s="39">
        <f t="shared" si="0"/>
        <v>0</v>
      </c>
      <c r="F12" s="39">
        <f t="shared" si="0"/>
        <v>0</v>
      </c>
      <c r="G12" s="39">
        <f t="shared" si="0"/>
        <v>0</v>
      </c>
      <c r="H12" s="39">
        <f t="shared" si="0"/>
        <v>0</v>
      </c>
      <c r="I12" s="39">
        <f t="shared" si="0"/>
        <v>0</v>
      </c>
      <c r="J12" s="39">
        <f t="shared" si="0"/>
        <v>0</v>
      </c>
      <c r="K12" s="39">
        <f t="shared" si="0"/>
        <v>0</v>
      </c>
      <c r="L12" s="39">
        <f t="shared" si="0"/>
        <v>0</v>
      </c>
      <c r="M12" s="39">
        <f t="shared" si="0"/>
        <v>0</v>
      </c>
    </row>
    <row r="13" spans="1:13" s="31" customFormat="1" ht="17.25">
      <c r="A13" s="10" t="s">
        <v>24</v>
      </c>
      <c r="B13" s="36"/>
      <c r="C13" s="36"/>
      <c r="D13" s="37"/>
      <c r="E13" s="37"/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</row>
    <row r="14" spans="1:13" s="34" customFormat="1" ht="17.25">
      <c r="A14" s="38" t="s">
        <v>25</v>
      </c>
      <c r="B14" s="39">
        <f>B12-B13</f>
        <v>0</v>
      </c>
      <c r="C14" s="39">
        <f>C12-C13</f>
        <v>0</v>
      </c>
      <c r="D14" s="39">
        <f>D12-D13</f>
        <v>0</v>
      </c>
      <c r="E14" s="39">
        <f t="shared" ref="E14:M14" si="1">E12-E13</f>
        <v>0</v>
      </c>
      <c r="F14" s="39">
        <f t="shared" si="1"/>
        <v>0</v>
      </c>
      <c r="G14" s="39">
        <f t="shared" si="1"/>
        <v>0</v>
      </c>
      <c r="H14" s="39">
        <f t="shared" si="1"/>
        <v>0</v>
      </c>
      <c r="I14" s="39">
        <f t="shared" si="1"/>
        <v>0</v>
      </c>
      <c r="J14" s="39">
        <f t="shared" si="1"/>
        <v>0</v>
      </c>
      <c r="K14" s="39">
        <f t="shared" si="1"/>
        <v>0</v>
      </c>
      <c r="L14" s="39">
        <f t="shared" si="1"/>
        <v>0</v>
      </c>
      <c r="M14" s="39">
        <f t="shared" si="1"/>
        <v>0</v>
      </c>
    </row>
    <row r="15" spans="1:13" s="31" customFormat="1" ht="17.25">
      <c r="A15" s="10" t="s">
        <v>18</v>
      </c>
      <c r="B15" s="36">
        <f>B14/1</f>
        <v>0</v>
      </c>
      <c r="C15" s="36">
        <f>C14/2</f>
        <v>0</v>
      </c>
      <c r="D15" s="36">
        <f>D14/3</f>
        <v>0</v>
      </c>
      <c r="E15" s="36">
        <f>E14/4</f>
        <v>0</v>
      </c>
      <c r="F15" s="36">
        <f>F14/5</f>
        <v>0</v>
      </c>
      <c r="G15" s="36">
        <f>G14/6</f>
        <v>0</v>
      </c>
      <c r="H15" s="36">
        <f>H14/7</f>
        <v>0</v>
      </c>
      <c r="I15" s="36">
        <f>I14/8</f>
        <v>0</v>
      </c>
      <c r="J15" s="36">
        <f>J14/9</f>
        <v>0</v>
      </c>
      <c r="K15" s="36">
        <f>K14/10</f>
        <v>0</v>
      </c>
      <c r="L15" s="36">
        <f>L14/11</f>
        <v>0</v>
      </c>
      <c r="M15" s="36">
        <f>M14/12</f>
        <v>0</v>
      </c>
    </row>
    <row r="16" spans="1:13" s="31" customFormat="1" ht="16.5" thickBot="1">
      <c r="A16" s="52" t="s">
        <v>19</v>
      </c>
      <c r="B16" s="50">
        <f>B14/1</f>
        <v>0</v>
      </c>
      <c r="C16" s="50">
        <f>(B14+C14)/2</f>
        <v>0</v>
      </c>
      <c r="D16" s="51">
        <f>(B14+C14+D14)/3</f>
        <v>0</v>
      </c>
      <c r="E16" s="51">
        <f>(B14+C14+D14+E14)/4</f>
        <v>0</v>
      </c>
      <c r="F16" s="51">
        <f>(B14+C14+D14+E14+F14)/5</f>
        <v>0</v>
      </c>
      <c r="G16" s="51">
        <f>(B14+C14+D14+E14+F14+G14)/6</f>
        <v>0</v>
      </c>
      <c r="H16" s="51">
        <f>(B14+C14+D14+E14+F14+G14+H14)/7</f>
        <v>0</v>
      </c>
      <c r="I16" s="51">
        <f>(B14+C14+D14+E14+F14+G14+H14+I14)/8</f>
        <v>0</v>
      </c>
      <c r="J16" s="51">
        <f>(B14+C14+D14+E14+F14+G14+H14+I14+J14)/9</f>
        <v>0</v>
      </c>
      <c r="K16" s="51">
        <f>(B14+C14+D14+E14+F14+G14+H14+I14+J14+K14)/10</f>
        <v>0</v>
      </c>
      <c r="L16" s="51">
        <f>(G14+F14+E14+D14+C14+B14+H14+I14+J14+K14+L14)/11</f>
        <v>0</v>
      </c>
      <c r="M16" s="51">
        <f>(H14+G14+F14+E14+D14+C14+B14+I14+J14+K14+L14+M14)/12</f>
        <v>0</v>
      </c>
    </row>
    <row r="22" spans="1:1">
      <c r="A22" s="32"/>
    </row>
  </sheetData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24"/>
  <sheetViews>
    <sheetView topLeftCell="A7" zoomScaleNormal="100" workbookViewId="0">
      <selection activeCell="H10" sqref="H10"/>
    </sheetView>
  </sheetViews>
  <sheetFormatPr defaultRowHeight="12.75"/>
  <cols>
    <col min="1" max="1" width="57.28515625" style="14" customWidth="1"/>
    <col min="2" max="2" width="9.5703125" style="11" customWidth="1"/>
    <col min="3" max="3" width="9.42578125" style="11" customWidth="1"/>
    <col min="4" max="7" width="9" style="12" bestFit="1" customWidth="1"/>
    <col min="8" max="8" width="9" style="12" customWidth="1"/>
    <col min="9" max="9" width="6.85546875" style="12" customWidth="1"/>
    <col min="10" max="10" width="6.28515625" style="12" customWidth="1"/>
    <col min="11" max="11" width="7.140625" style="12" customWidth="1"/>
    <col min="12" max="12" width="8" style="12" customWidth="1"/>
    <col min="13" max="13" width="5.5703125" style="12" customWidth="1"/>
    <col min="14" max="16384" width="9.140625" style="4"/>
  </cols>
  <sheetData>
    <row r="1" spans="1:13" s="1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60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5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1300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>
      <c r="A11" s="7" t="s">
        <v>39</v>
      </c>
      <c r="B11" s="56"/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13" customFormat="1">
      <c r="A12" s="8" t="s">
        <v>40</v>
      </c>
      <c r="B12" s="56">
        <v>0</v>
      </c>
      <c r="C12" s="56">
        <v>2040</v>
      </c>
      <c r="D12" s="57">
        <v>2040</v>
      </c>
      <c r="E12" s="57">
        <f>1760+2880</f>
        <v>4640</v>
      </c>
      <c r="F12" s="57">
        <v>3000</v>
      </c>
      <c r="G12" s="57">
        <v>3520</v>
      </c>
      <c r="H12" s="57">
        <v>3520</v>
      </c>
      <c r="I12" s="58"/>
      <c r="J12" s="57"/>
      <c r="K12" s="57"/>
      <c r="L12" s="57"/>
      <c r="M12" s="57"/>
    </row>
    <row r="13" spans="1:13" s="6" customFormat="1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13" customFormat="1">
      <c r="A14" s="8" t="s">
        <v>42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6" customFormat="1">
      <c r="A15" s="9" t="s">
        <v>43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6" customFormat="1" ht="25.5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4">
        <v>0</v>
      </c>
      <c r="C18" s="54">
        <v>0</v>
      </c>
      <c r="D18" s="54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>
        <f t="shared" ref="B19:H19" si="0">SUM(B5:B18)</f>
        <v>1300</v>
      </c>
      <c r="C19" s="44">
        <f t="shared" si="0"/>
        <v>2040</v>
      </c>
      <c r="D19" s="44">
        <f t="shared" si="0"/>
        <v>2040</v>
      </c>
      <c r="E19" s="44">
        <f t="shared" si="0"/>
        <v>4640</v>
      </c>
      <c r="F19" s="44">
        <f t="shared" si="0"/>
        <v>3000</v>
      </c>
      <c r="G19" s="44">
        <f t="shared" si="0"/>
        <v>3520</v>
      </c>
      <c r="H19" s="44">
        <f t="shared" si="0"/>
        <v>3520</v>
      </c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0</v>
      </c>
      <c r="C20" s="56">
        <v>40</v>
      </c>
      <c r="D20" s="56">
        <v>40</v>
      </c>
      <c r="E20" s="56">
        <v>40</v>
      </c>
      <c r="F20" s="56">
        <v>0</v>
      </c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f>B19-B20</f>
        <v>1300</v>
      </c>
      <c r="C21" s="44">
        <f t="shared" ref="C21:M21" si="1">C19-C20</f>
        <v>2000</v>
      </c>
      <c r="D21" s="44">
        <f t="shared" si="1"/>
        <v>2000</v>
      </c>
      <c r="E21" s="44">
        <f t="shared" si="1"/>
        <v>4600</v>
      </c>
      <c r="F21" s="44">
        <f t="shared" si="1"/>
        <v>3000</v>
      </c>
      <c r="G21" s="44">
        <f t="shared" si="1"/>
        <v>3520</v>
      </c>
      <c r="H21" s="44">
        <f t="shared" si="1"/>
        <v>3520</v>
      </c>
      <c r="I21" s="44">
        <f t="shared" si="1"/>
        <v>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>
      <c r="A22" s="60" t="s">
        <v>18</v>
      </c>
      <c r="B22" s="61">
        <f>AVERAGE(B21)</f>
        <v>1300</v>
      </c>
      <c r="C22" s="61">
        <f>AVERAGE(B21:C21)</f>
        <v>1650</v>
      </c>
      <c r="D22" s="61">
        <f>AVERAGE(B21:D21)</f>
        <v>1766.6666666666667</v>
      </c>
      <c r="E22" s="61">
        <f>AVERAGE(B21:E21)</f>
        <v>2475</v>
      </c>
      <c r="F22" s="61">
        <f>AVERAGE(B21:F21)</f>
        <v>2580</v>
      </c>
      <c r="G22" s="61">
        <f>AVERAGE(B21:G21)</f>
        <v>2736.6666666666665</v>
      </c>
      <c r="H22" s="61">
        <f>AVERAGE(B21:H21)</f>
        <v>2848.5714285714284</v>
      </c>
      <c r="I22" s="61"/>
      <c r="J22" s="61"/>
      <c r="K22" s="61"/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24"/>
  <sheetViews>
    <sheetView topLeftCell="A4" zoomScaleNormal="100" workbookViewId="0">
      <selection activeCell="O23" sqref="O23"/>
    </sheetView>
  </sheetViews>
  <sheetFormatPr defaultRowHeight="11.25"/>
  <cols>
    <col min="1" max="1" width="61.85546875" style="4" customWidth="1"/>
    <col min="2" max="2" width="9.42578125" style="11" customWidth="1"/>
    <col min="3" max="3" width="9" style="11" bestFit="1" customWidth="1"/>
    <col min="4" max="7" width="9" style="12" bestFit="1" customWidth="1"/>
    <col min="8" max="8" width="9.140625" style="12" customWidth="1"/>
    <col min="9" max="13" width="8.5703125" style="12" customWidth="1"/>
    <col min="14" max="16384" width="9.140625" style="4"/>
  </cols>
  <sheetData>
    <row r="1" spans="1:14" s="1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4" ht="21.75" thickBot="1">
      <c r="A2" s="69" t="s">
        <v>56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4" s="5" customFormat="1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4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4" ht="12.75">
      <c r="A5" s="7" t="s">
        <v>33</v>
      </c>
      <c r="B5" s="54">
        <v>0</v>
      </c>
      <c r="C5" s="54">
        <v>0</v>
      </c>
      <c r="D5" s="54">
        <v>0</v>
      </c>
      <c r="E5" s="54"/>
      <c r="F5" s="54"/>
      <c r="G5" s="54"/>
      <c r="H5" s="54"/>
      <c r="I5" s="54"/>
      <c r="J5" s="54"/>
      <c r="K5" s="54"/>
      <c r="L5" s="54"/>
      <c r="M5" s="54"/>
    </row>
    <row r="6" spans="1:14" ht="12.75">
      <c r="A6" s="55" t="s">
        <v>34</v>
      </c>
      <c r="B6" s="54">
        <v>0</v>
      </c>
      <c r="C6" s="54">
        <v>0</v>
      </c>
      <c r="D6" s="54">
        <v>0</v>
      </c>
      <c r="E6" s="54"/>
      <c r="F6" s="54"/>
      <c r="G6" s="54"/>
      <c r="H6" s="54"/>
      <c r="I6" s="54"/>
      <c r="J6" s="54"/>
      <c r="K6" s="54"/>
      <c r="L6" s="54"/>
      <c r="M6" s="54"/>
    </row>
    <row r="7" spans="1:14" ht="12.75">
      <c r="A7" s="55" t="s">
        <v>35</v>
      </c>
      <c r="B7" s="54">
        <v>0</v>
      </c>
      <c r="C7" s="54">
        <v>0</v>
      </c>
      <c r="D7" s="54">
        <v>0</v>
      </c>
      <c r="E7" s="54"/>
      <c r="F7" s="54"/>
      <c r="G7" s="54"/>
      <c r="H7" s="54"/>
      <c r="I7" s="54"/>
      <c r="J7" s="54"/>
      <c r="K7" s="54"/>
      <c r="L7" s="54"/>
      <c r="M7" s="54"/>
    </row>
    <row r="8" spans="1:14" ht="12.75">
      <c r="A8" s="55" t="s">
        <v>36</v>
      </c>
      <c r="B8" s="54">
        <v>0</v>
      </c>
      <c r="C8" s="54">
        <v>0</v>
      </c>
      <c r="D8" s="54">
        <v>0</v>
      </c>
      <c r="E8" s="54"/>
      <c r="F8" s="54"/>
      <c r="G8" s="54"/>
      <c r="H8" s="54"/>
      <c r="I8" s="54"/>
      <c r="J8" s="54"/>
      <c r="K8" s="54"/>
      <c r="L8" s="54"/>
      <c r="M8" s="54"/>
    </row>
    <row r="9" spans="1:14" ht="12.75">
      <c r="A9" s="55" t="s">
        <v>37</v>
      </c>
      <c r="B9" s="54">
        <v>0</v>
      </c>
      <c r="C9" s="54">
        <v>0</v>
      </c>
      <c r="D9" s="54">
        <v>0</v>
      </c>
      <c r="E9" s="54"/>
      <c r="F9" s="54"/>
      <c r="G9" s="54"/>
      <c r="H9" s="54"/>
      <c r="I9" s="54"/>
      <c r="J9" s="54"/>
      <c r="K9" s="54"/>
      <c r="L9" s="54"/>
      <c r="M9" s="54"/>
    </row>
    <row r="10" spans="1:14" ht="12.75">
      <c r="A10" s="55" t="s">
        <v>38</v>
      </c>
      <c r="B10" s="54">
        <v>187.81</v>
      </c>
      <c r="C10" s="54">
        <v>187.5</v>
      </c>
      <c r="D10" s="54">
        <v>194.5</v>
      </c>
      <c r="E10" s="54">
        <v>200.2</v>
      </c>
      <c r="F10" s="54">
        <v>195.93</v>
      </c>
      <c r="G10" s="54">
        <v>195.93</v>
      </c>
      <c r="H10" s="54">
        <v>195.93</v>
      </c>
      <c r="I10" s="54"/>
      <c r="J10" s="54"/>
      <c r="K10" s="54"/>
      <c r="L10" s="54"/>
      <c r="M10" s="54"/>
    </row>
    <row r="11" spans="1:14" ht="12.75">
      <c r="A11" s="7" t="s">
        <v>39</v>
      </c>
      <c r="B11" s="56">
        <v>0</v>
      </c>
      <c r="C11" s="56">
        <v>0</v>
      </c>
      <c r="D11" s="56">
        <v>0</v>
      </c>
      <c r="E11" s="56"/>
      <c r="F11" s="56"/>
      <c r="G11" s="56"/>
      <c r="H11" s="56"/>
      <c r="I11" s="56"/>
      <c r="J11" s="56"/>
      <c r="K11" s="56"/>
      <c r="L11" s="56"/>
      <c r="M11" s="56"/>
    </row>
    <row r="12" spans="1:14" s="13" customFormat="1" ht="12.75">
      <c r="A12" s="8" t="s">
        <v>40</v>
      </c>
      <c r="B12" s="56">
        <v>0</v>
      </c>
      <c r="C12" s="56">
        <v>0</v>
      </c>
      <c r="D12" s="57">
        <v>0</v>
      </c>
      <c r="E12" s="57"/>
      <c r="F12" s="57"/>
      <c r="G12" s="57"/>
      <c r="H12" s="57"/>
      <c r="I12" s="58"/>
      <c r="J12" s="57"/>
      <c r="K12" s="57"/>
      <c r="L12" s="57"/>
      <c r="M12" s="57"/>
      <c r="N12" s="40"/>
    </row>
    <row r="13" spans="1:14" s="6" customFormat="1" ht="12.75">
      <c r="A13" s="8" t="s">
        <v>41</v>
      </c>
      <c r="B13" s="56">
        <v>640</v>
      </c>
      <c r="C13" s="56">
        <v>0</v>
      </c>
      <c r="D13" s="57">
        <f>1108+69</f>
        <v>1177</v>
      </c>
      <c r="E13" s="57"/>
      <c r="F13" s="57">
        <v>310</v>
      </c>
      <c r="G13" s="57"/>
      <c r="H13" s="57">
        <f>1005+1250</f>
        <v>2255</v>
      </c>
      <c r="I13" s="57"/>
      <c r="J13" s="57"/>
      <c r="K13" s="57"/>
      <c r="L13" s="57"/>
      <c r="M13" s="57"/>
    </row>
    <row r="14" spans="1:14" s="13" customFormat="1" ht="12.75">
      <c r="A14" s="8" t="s">
        <v>42</v>
      </c>
      <c r="B14" s="56">
        <v>0</v>
      </c>
      <c r="C14" s="56">
        <v>0</v>
      </c>
      <c r="D14" s="57">
        <v>0</v>
      </c>
      <c r="E14" s="57"/>
      <c r="F14" s="57"/>
      <c r="G14" s="57"/>
      <c r="H14" s="57"/>
      <c r="I14" s="57"/>
      <c r="J14" s="57"/>
      <c r="K14" s="57"/>
      <c r="L14" s="57"/>
      <c r="M14" s="57"/>
    </row>
    <row r="15" spans="1:14" s="6" customFormat="1" ht="12.75">
      <c r="A15" s="9" t="s">
        <v>43</v>
      </c>
      <c r="B15" s="56">
        <f>390+409+130.7</f>
        <v>929.7</v>
      </c>
      <c r="C15" s="56">
        <v>262.3</v>
      </c>
      <c r="D15" s="56">
        <v>500.5</v>
      </c>
      <c r="E15" s="56">
        <f>112.1+280</f>
        <v>392.1</v>
      </c>
      <c r="F15" s="56">
        <f>411.5+130</f>
        <v>541.5</v>
      </c>
      <c r="G15" s="56">
        <v>280</v>
      </c>
      <c r="H15" s="56">
        <f>150.6+320+280</f>
        <v>750.6</v>
      </c>
      <c r="I15" s="56"/>
      <c r="J15" s="56"/>
      <c r="K15" s="56"/>
      <c r="L15" s="56"/>
      <c r="M15" s="56"/>
    </row>
    <row r="16" spans="1:14" s="6" customFormat="1" ht="12.75">
      <c r="A16" s="8" t="s">
        <v>44</v>
      </c>
      <c r="B16" s="56">
        <v>0</v>
      </c>
      <c r="C16" s="56">
        <v>0</v>
      </c>
      <c r="D16" s="56">
        <v>0</v>
      </c>
      <c r="E16" s="57"/>
      <c r="F16" s="57"/>
      <c r="G16" s="57"/>
      <c r="H16" s="57"/>
      <c r="I16" s="57"/>
      <c r="J16" s="57"/>
      <c r="K16" s="57"/>
      <c r="L16" s="57"/>
      <c r="M16" s="57"/>
    </row>
    <row r="17" spans="1:13" ht="12.75">
      <c r="A17" s="8" t="s">
        <v>45</v>
      </c>
      <c r="B17" s="56">
        <v>0</v>
      </c>
      <c r="C17" s="56">
        <v>0</v>
      </c>
      <c r="D17" s="56">
        <v>0</v>
      </c>
      <c r="E17" s="57"/>
      <c r="F17" s="57"/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180</v>
      </c>
      <c r="C18" s="56">
        <v>0</v>
      </c>
      <c r="D18" s="56">
        <v>0</v>
      </c>
      <c r="E18" s="56">
        <v>2400</v>
      </c>
      <c r="F18" s="56">
        <v>190</v>
      </c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>
        <f t="shared" ref="B19:H19" si="0">SUM(B5:B18)</f>
        <v>1937.51</v>
      </c>
      <c r="C19" s="44">
        <f t="shared" si="0"/>
        <v>449.8</v>
      </c>
      <c r="D19" s="44">
        <f t="shared" si="0"/>
        <v>1872</v>
      </c>
      <c r="E19" s="44">
        <f t="shared" si="0"/>
        <v>2992.3</v>
      </c>
      <c r="F19" s="44">
        <f t="shared" si="0"/>
        <v>1237.43</v>
      </c>
      <c r="G19" s="44">
        <f t="shared" si="0"/>
        <v>475.93</v>
      </c>
      <c r="H19" s="44">
        <f t="shared" si="0"/>
        <v>3201.5299999999997</v>
      </c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98.22</v>
      </c>
      <c r="C20" s="56">
        <v>89.8</v>
      </c>
      <c r="D20" s="56">
        <v>0</v>
      </c>
      <c r="E20" s="56">
        <f>2400+4.27</f>
        <v>2404.27</v>
      </c>
      <c r="F20" s="56">
        <v>0</v>
      </c>
      <c r="G20" s="56"/>
      <c r="H20" s="56">
        <v>9</v>
      </c>
      <c r="I20" s="56"/>
      <c r="J20" s="56"/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f>B19-B20</f>
        <v>1839.29</v>
      </c>
      <c r="C21" s="44">
        <f t="shared" ref="C21:M21" si="1">C19-C20</f>
        <v>360</v>
      </c>
      <c r="D21" s="44">
        <f t="shared" si="1"/>
        <v>1872</v>
      </c>
      <c r="E21" s="44">
        <f t="shared" si="1"/>
        <v>588.0300000000002</v>
      </c>
      <c r="F21" s="44">
        <f t="shared" si="1"/>
        <v>1237.43</v>
      </c>
      <c r="G21" s="44">
        <f t="shared" si="1"/>
        <v>475.93</v>
      </c>
      <c r="H21" s="44">
        <f t="shared" si="1"/>
        <v>3192.5299999999997</v>
      </c>
      <c r="I21" s="44">
        <f t="shared" si="1"/>
        <v>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>
      <c r="A22" s="60" t="s">
        <v>18</v>
      </c>
      <c r="B22" s="61">
        <f>AVERAGE(B21)</f>
        <v>1839.29</v>
      </c>
      <c r="C22" s="61">
        <f>AVERAGE(B21:C21)</f>
        <v>1099.645</v>
      </c>
      <c r="D22" s="61">
        <f>AVERAGE(B21:D21)</f>
        <v>1357.0966666666666</v>
      </c>
      <c r="E22" s="61">
        <f>AVERAGE(B21:E21)</f>
        <v>1164.83</v>
      </c>
      <c r="F22" s="61">
        <f>AVERAGE(B21:F21)</f>
        <v>1179.3499999999999</v>
      </c>
      <c r="G22" s="61">
        <f>AVERAGE(B21:G21)</f>
        <v>1062.1133333333335</v>
      </c>
      <c r="H22" s="61">
        <f>AVERAGE(B21:H21)</f>
        <v>1366.4585714285713</v>
      </c>
      <c r="I22" s="61"/>
      <c r="J22" s="61"/>
      <c r="K22" s="61"/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24"/>
  <sheetViews>
    <sheetView topLeftCell="A10" zoomScaleNormal="100" workbookViewId="0">
      <selection activeCell="E28" sqref="E28"/>
    </sheetView>
  </sheetViews>
  <sheetFormatPr defaultRowHeight="12"/>
  <cols>
    <col min="1" max="1" width="52.140625" style="3" customWidth="1"/>
    <col min="2" max="3" width="9" style="11" bestFit="1" customWidth="1"/>
    <col min="4" max="7" width="9" style="12" bestFit="1" customWidth="1"/>
    <col min="8" max="8" width="8.85546875" style="12" customWidth="1"/>
    <col min="9" max="13" width="7.85546875" style="12" bestFit="1" customWidth="1"/>
    <col min="14" max="16384" width="9.140625" style="4"/>
  </cols>
  <sheetData>
    <row r="1" spans="1:13" s="1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52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ht="12.75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 ht="12.75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ht="12.75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ht="12.75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ht="12.75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ht="12.75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s="13" customFormat="1" ht="12.75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6" customFormat="1" ht="12.75">
      <c r="A12" s="8" t="s">
        <v>40</v>
      </c>
      <c r="B12" s="56">
        <v>2016</v>
      </c>
      <c r="C12" s="56">
        <v>2016</v>
      </c>
      <c r="D12" s="57">
        <v>2016</v>
      </c>
      <c r="E12" s="57">
        <v>4704</v>
      </c>
      <c r="F12" s="57">
        <v>4704</v>
      </c>
      <c r="G12" s="57">
        <v>4704</v>
      </c>
      <c r="H12" s="57">
        <v>4704</v>
      </c>
      <c r="I12" s="58"/>
      <c r="J12" s="57"/>
      <c r="K12" s="57"/>
      <c r="L12" s="57"/>
      <c r="M12" s="57"/>
    </row>
    <row r="13" spans="1:13" s="13" customFormat="1" ht="12.75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6" customFormat="1" ht="25.5">
      <c r="A14" s="8" t="s">
        <v>42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6" customFormat="1" ht="12.75">
      <c r="A15" s="9" t="s">
        <v>43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ht="25.5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ht="12.75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4">
        <v>0</v>
      </c>
      <c r="C18" s="54">
        <v>0</v>
      </c>
      <c r="D18" s="54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>
        <f t="shared" ref="B19:H19" si="0">SUM(B5:B18)</f>
        <v>2016</v>
      </c>
      <c r="C19" s="44">
        <f t="shared" si="0"/>
        <v>2016</v>
      </c>
      <c r="D19" s="44">
        <f t="shared" si="0"/>
        <v>2016</v>
      </c>
      <c r="E19" s="44">
        <f t="shared" si="0"/>
        <v>4704</v>
      </c>
      <c r="F19" s="44">
        <f t="shared" si="0"/>
        <v>4704</v>
      </c>
      <c r="G19" s="44">
        <f t="shared" si="0"/>
        <v>4704</v>
      </c>
      <c r="H19" s="44">
        <f t="shared" si="0"/>
        <v>4704</v>
      </c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73.27</v>
      </c>
      <c r="C20" s="56">
        <v>16</v>
      </c>
      <c r="D20" s="56">
        <v>268.35000000000002</v>
      </c>
      <c r="E20" s="56">
        <v>104</v>
      </c>
      <c r="F20" s="56">
        <v>104</v>
      </c>
      <c r="G20" s="56">
        <v>104</v>
      </c>
      <c r="H20" s="56">
        <v>104</v>
      </c>
      <c r="I20" s="56"/>
      <c r="J20" s="56"/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f>B19-B20</f>
        <v>1942.73</v>
      </c>
      <c r="C21" s="44">
        <f t="shared" ref="C21:M21" si="1">C19-C20</f>
        <v>2000</v>
      </c>
      <c r="D21" s="44">
        <f t="shared" si="1"/>
        <v>1747.65</v>
      </c>
      <c r="E21" s="44">
        <f t="shared" si="1"/>
        <v>4600</v>
      </c>
      <c r="F21" s="44">
        <f t="shared" si="1"/>
        <v>4600</v>
      </c>
      <c r="G21" s="44">
        <f t="shared" si="1"/>
        <v>4600</v>
      </c>
      <c r="H21" s="44">
        <f t="shared" si="1"/>
        <v>4600</v>
      </c>
      <c r="I21" s="44">
        <f t="shared" si="1"/>
        <v>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>
      <c r="A22" s="60" t="s">
        <v>18</v>
      </c>
      <c r="B22" s="61">
        <f>AVERAGE(B21)</f>
        <v>1942.73</v>
      </c>
      <c r="C22" s="61">
        <f>AVERAGE(B21:C21)</f>
        <v>1971.365</v>
      </c>
      <c r="D22" s="61">
        <f>AVERAGE(B21:D21)</f>
        <v>1896.7933333333333</v>
      </c>
      <c r="E22" s="61">
        <f>AVERAGE(B21:E21)</f>
        <v>2572.5950000000003</v>
      </c>
      <c r="F22" s="61">
        <f>AVERAGE(B21:F21)</f>
        <v>2978.076</v>
      </c>
      <c r="G22" s="61">
        <f>AVERAGE(B21:G21)</f>
        <v>3248.396666666667</v>
      </c>
      <c r="H22" s="61">
        <f>AVERAGE(B21:H21)</f>
        <v>3441.4828571428575</v>
      </c>
      <c r="I22" s="61"/>
      <c r="J22" s="61"/>
      <c r="K22" s="61"/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24"/>
  <sheetViews>
    <sheetView topLeftCell="A4" zoomScaleNormal="100" workbookViewId="0">
      <selection activeCell="K26" sqref="K26"/>
    </sheetView>
  </sheetViews>
  <sheetFormatPr defaultRowHeight="12.75"/>
  <cols>
    <col min="1" max="1" width="58.28515625" style="33" customWidth="1"/>
    <col min="2" max="2" width="10.140625" style="26" customWidth="1"/>
    <col min="3" max="3" width="7.85546875" style="26" bestFit="1" customWidth="1"/>
    <col min="4" max="8" width="9" style="27" bestFit="1" customWidth="1"/>
    <col min="9" max="11" width="7.85546875" style="27" bestFit="1" customWidth="1"/>
    <col min="12" max="12" width="7.5703125" style="27" customWidth="1"/>
    <col min="13" max="13" width="7.85546875" style="27" customWidth="1"/>
    <col min="14" max="16384" width="9.140625" style="29"/>
  </cols>
  <sheetData>
    <row r="1" spans="1:13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57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>
      <c r="A12" s="8" t="s">
        <v>40</v>
      </c>
      <c r="B12" s="56">
        <v>0</v>
      </c>
      <c r="C12" s="56">
        <v>0</v>
      </c>
      <c r="D12" s="56">
        <v>0</v>
      </c>
      <c r="E12" s="57">
        <v>3000</v>
      </c>
      <c r="F12" s="57">
        <v>4774</v>
      </c>
      <c r="G12" s="57">
        <v>4620</v>
      </c>
      <c r="H12" s="57">
        <v>4774</v>
      </c>
      <c r="I12" s="58"/>
      <c r="J12" s="57"/>
      <c r="K12" s="57"/>
      <c r="L12" s="57"/>
      <c r="M12" s="57"/>
    </row>
    <row r="13" spans="1:13" s="31" customFormat="1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>
      <c r="A15" s="9" t="s">
        <v>43</v>
      </c>
      <c r="B15" s="56">
        <v>1995</v>
      </c>
      <c r="C15" s="56">
        <v>0</v>
      </c>
      <c r="D15" s="56">
        <v>500</v>
      </c>
      <c r="E15" s="56">
        <v>576.15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>
      <c r="A16" s="8" t="s">
        <v>44</v>
      </c>
      <c r="B16" s="56">
        <v>0</v>
      </c>
      <c r="C16" s="56">
        <v>0</v>
      </c>
      <c r="D16" s="57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6">
        <v>0</v>
      </c>
      <c r="C17" s="56">
        <v>0</v>
      </c>
      <c r="D17" s="57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9">
        <v>0</v>
      </c>
      <c r="C18" s="56">
        <v>0</v>
      </c>
      <c r="D18" s="56">
        <v>1500</v>
      </c>
      <c r="E18" s="56">
        <v>1350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>
        <f>SUM(B5:B18)</f>
        <v>1995</v>
      </c>
      <c r="C19" s="44" t="s">
        <v>55</v>
      </c>
      <c r="D19" s="44">
        <f>SUM(D5:D18)</f>
        <v>2000</v>
      </c>
      <c r="E19" s="44">
        <f>SUM(E5:E18)</f>
        <v>4926.1499999999996</v>
      </c>
      <c r="F19" s="44">
        <f>SUM(F5:F18)</f>
        <v>4774</v>
      </c>
      <c r="G19" s="44">
        <f>SUM(G5:G18)</f>
        <v>4620</v>
      </c>
      <c r="H19" s="44">
        <f>SUM(H5:H18)</f>
        <v>4774</v>
      </c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269.88</v>
      </c>
      <c r="C20" s="56">
        <v>0</v>
      </c>
      <c r="D20" s="56">
        <v>0</v>
      </c>
      <c r="E20" s="56">
        <v>326.14999999999998</v>
      </c>
      <c r="F20" s="56">
        <v>174</v>
      </c>
      <c r="G20" s="56">
        <v>20</v>
      </c>
      <c r="H20" s="56">
        <v>174</v>
      </c>
      <c r="I20" s="56"/>
      <c r="J20" s="56"/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f>B19-B20</f>
        <v>1725.12</v>
      </c>
      <c r="C21" s="44">
        <v>0</v>
      </c>
      <c r="D21" s="44">
        <f t="shared" ref="D21:M21" si="0">D19-D20</f>
        <v>2000</v>
      </c>
      <c r="E21" s="44">
        <f t="shared" si="0"/>
        <v>4600</v>
      </c>
      <c r="F21" s="44">
        <f t="shared" si="0"/>
        <v>4600</v>
      </c>
      <c r="G21" s="44">
        <f t="shared" si="0"/>
        <v>4600</v>
      </c>
      <c r="H21" s="44">
        <f t="shared" si="0"/>
        <v>4600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>
      <c r="A22" s="60" t="s">
        <v>18</v>
      </c>
      <c r="B22" s="61">
        <f>AVERAGE(B21)</f>
        <v>1725.12</v>
      </c>
      <c r="C22" s="61">
        <f>AVERAGE(B21:C21)</f>
        <v>862.56</v>
      </c>
      <c r="D22" s="61">
        <f>AVERAGE(B21:D21)</f>
        <v>1241.7066666666667</v>
      </c>
      <c r="E22" s="61">
        <f>AVERAGE(B21:E21)</f>
        <v>2081.2799999999997</v>
      </c>
      <c r="F22" s="61">
        <f>AVERAGE(B21:F21)</f>
        <v>2585.0239999999999</v>
      </c>
      <c r="G22" s="61">
        <f>AVERAGE(B21:G21)</f>
        <v>2920.853333333333</v>
      </c>
      <c r="H22" s="61">
        <f>AVERAGE(B21:H21)</f>
        <v>3160.7314285714283</v>
      </c>
      <c r="I22" s="61"/>
      <c r="J22" s="61"/>
      <c r="K22" s="61"/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26"/>
  <sheetViews>
    <sheetView zoomScaleNormal="100" workbookViewId="0">
      <selection activeCell="H23" sqref="H23"/>
    </sheetView>
  </sheetViews>
  <sheetFormatPr defaultRowHeight="12.75"/>
  <cols>
    <col min="1" max="1" width="60.7109375" style="33" customWidth="1"/>
    <col min="2" max="2" width="9.28515625" style="26" customWidth="1"/>
    <col min="3" max="3" width="7.5703125" style="26" customWidth="1"/>
    <col min="4" max="4" width="7.85546875" style="27" customWidth="1"/>
    <col min="5" max="5" width="8.28515625" style="27" customWidth="1"/>
    <col min="6" max="6" width="7.7109375" style="27" customWidth="1"/>
    <col min="7" max="7" width="7.85546875" style="27" customWidth="1"/>
    <col min="8" max="8" width="7.7109375" style="27" customWidth="1"/>
    <col min="9" max="10" width="8.28515625" style="27" customWidth="1"/>
    <col min="11" max="12" width="8.42578125" style="27" customWidth="1"/>
    <col min="13" max="13" width="8.140625" style="27" customWidth="1"/>
    <col min="14" max="16384" width="9.140625" style="29"/>
  </cols>
  <sheetData>
    <row r="1" spans="1:13" s="28" customFormat="1" ht="21.75" thickBot="1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58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>
        <v>124.97</v>
      </c>
      <c r="H10" s="54">
        <v>149.97999999999999</v>
      </c>
      <c r="I10" s="54"/>
      <c r="J10" s="54"/>
      <c r="K10" s="54"/>
      <c r="L10" s="54"/>
      <c r="M10" s="54"/>
    </row>
    <row r="11" spans="1:13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>
      <c r="A12" s="8" t="s">
        <v>40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7"/>
      <c r="H12" s="57"/>
      <c r="I12" s="58"/>
      <c r="J12" s="57"/>
      <c r="K12" s="57"/>
      <c r="L12" s="57"/>
      <c r="M12" s="57"/>
    </row>
    <row r="13" spans="1:13" s="31" customFormat="1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>
      <c r="A14" s="8" t="s">
        <v>42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>
      <c r="A15" s="9" t="s">
        <v>43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>
      <c r="A18" s="22" t="s">
        <v>46</v>
      </c>
      <c r="B18" s="54">
        <v>0</v>
      </c>
      <c r="C18" s="54">
        <v>0</v>
      </c>
      <c r="D18" s="54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>
      <c r="A19" s="43" t="s">
        <v>47</v>
      </c>
      <c r="B19" s="44" t="s">
        <v>55</v>
      </c>
      <c r="C19" s="44" t="s">
        <v>55</v>
      </c>
      <c r="D19" s="44" t="s">
        <v>55</v>
      </c>
      <c r="E19" s="44" t="s">
        <v>55</v>
      </c>
      <c r="F19" s="44" t="s">
        <v>55</v>
      </c>
      <c r="G19" s="44">
        <v>124.97</v>
      </c>
      <c r="H19" s="44">
        <v>124.97</v>
      </c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0" t="s">
        <v>24</v>
      </c>
      <c r="B20" s="45">
        <v>0</v>
      </c>
      <c r="C20" s="56"/>
      <c r="D20" s="56"/>
      <c r="E20" s="56"/>
      <c r="F20" s="56"/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>
      <c r="A21" s="43" t="s">
        <v>25</v>
      </c>
      <c r="B21" s="44">
        <v>0</v>
      </c>
      <c r="C21" s="44">
        <v>0</v>
      </c>
      <c r="D21" s="44">
        <v>0</v>
      </c>
      <c r="E21" s="44">
        <v>0</v>
      </c>
      <c r="F21" s="44">
        <v>0</v>
      </c>
      <c r="G21" s="44">
        <f t="shared" ref="G21:M21" si="0">G19-G20</f>
        <v>124.97</v>
      </c>
      <c r="H21" s="44">
        <f t="shared" si="0"/>
        <v>124.97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>
      <c r="A22" s="60" t="s">
        <v>18</v>
      </c>
      <c r="B22" s="61">
        <v>0</v>
      </c>
      <c r="C22" s="61">
        <v>0</v>
      </c>
      <c r="D22" s="61">
        <v>0</v>
      </c>
      <c r="E22" s="61">
        <v>0</v>
      </c>
      <c r="F22" s="61">
        <v>0</v>
      </c>
      <c r="G22" s="61">
        <f>AVERAGE(B21:G21)</f>
        <v>20.828333333333333</v>
      </c>
      <c r="H22" s="61">
        <f>AVERAGE(B21:H21)</f>
        <v>35.705714285714286</v>
      </c>
      <c r="I22" s="61"/>
      <c r="J22" s="61"/>
      <c r="K22" s="61"/>
      <c r="L22" s="61"/>
      <c r="M22" s="61"/>
    </row>
    <row r="23" spans="1:13" ht="13.5" thickBot="1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>
      <c r="A24"/>
    </row>
    <row r="26" spans="1:13">
      <c r="A26" s="33" t="s">
        <v>88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44</vt:i4>
      </vt:variant>
    </vt:vector>
  </HeadingPairs>
  <TitlesOfParts>
    <vt:vector size="44" baseType="lpstr">
      <vt:lpstr>ADERALDO OLIVEIRA</vt:lpstr>
      <vt:lpstr>AERTO LUNA</vt:lpstr>
      <vt:lpstr>AIMÉE SILVA</vt:lpstr>
      <vt:lpstr>ALCIDES TEIXEIRA NETO</vt:lpstr>
      <vt:lpstr>ALINE MARIANO</vt:lpstr>
      <vt:lpstr>ALMIR FERNANDO</vt:lpstr>
      <vt:lpstr>AMARO CIPRIANO</vt:lpstr>
      <vt:lpstr>ANA LÚCIA</vt:lpstr>
      <vt:lpstr>ANDRÉ RÉGIS</vt:lpstr>
      <vt:lpstr>ANTONIO LUIZ NETO</vt:lpstr>
      <vt:lpstr>AUGUSTO CARRERAS</vt:lpstr>
      <vt:lpstr>BENJAMIN DA SAÚDE</vt:lpstr>
      <vt:lpstr>CARLOS GUEIROS</vt:lpstr>
      <vt:lpstr>CHICO KIKO</vt:lpstr>
      <vt:lpstr>DAVI MUNIZ</vt:lpstr>
      <vt:lpstr>DAIZE MICHELE</vt:lpstr>
      <vt:lpstr>EDUARDO CHERA</vt:lpstr>
      <vt:lpstr>EDUARDO MARQUES</vt:lpstr>
      <vt:lpstr>FELIPE FRANCISMAR</vt:lpstr>
      <vt:lpstr>FRED FERREIRA</vt:lpstr>
      <vt:lpstr>GILBERTO ALVES</vt:lpstr>
      <vt:lpstr>HÉLIO GUABIRARA</vt:lpstr>
      <vt:lpstr>IVAN MORAES</vt:lpstr>
      <vt:lpstr>JAYME ASFORA</vt:lpstr>
      <vt:lpstr>JAIRO BRITTO</vt:lpstr>
      <vt:lpstr>JÚNIOR BOCÃO</vt:lpstr>
      <vt:lpstr>MARCO AURÉLIO</vt:lpstr>
      <vt:lpstr>MARÍLIA ARRAES</vt:lpstr>
      <vt:lpstr>MARCOS DI BRIA</vt:lpstr>
      <vt:lpstr>NATÁLIA DE MENUDO</vt:lpstr>
      <vt:lpstr>RAFAEL ACIOLI</vt:lpstr>
      <vt:lpstr>RINALDO JÚNIOR</vt:lpstr>
      <vt:lpstr>RENATO ANTUNES</vt:lpstr>
      <vt:lpstr>RICARDO CRUZ</vt:lpstr>
      <vt:lpstr>RODRIGO COUTINHO</vt:lpstr>
      <vt:lpstr>ROGÉRIO DE LUCCA</vt:lpstr>
      <vt:lpstr>ROMERINHO JATOBÁ </vt:lpstr>
      <vt:lpstr>ROMERO ALBUQUERQUE</vt:lpstr>
      <vt:lpstr>WANDERSON SOBRAL</vt:lpstr>
      <vt:lpstr>3</vt:lpstr>
      <vt:lpstr>4</vt:lpstr>
      <vt:lpstr>5</vt:lpstr>
      <vt:lpstr>..</vt:lpstr>
      <vt:lpstr>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ana.costa</cp:lastModifiedBy>
  <cp:lastPrinted>2017-04-12T13:26:31Z</cp:lastPrinted>
  <dcterms:created xsi:type="dcterms:W3CDTF">2010-04-15T12:47:32Z</dcterms:created>
  <dcterms:modified xsi:type="dcterms:W3CDTF">2017-08-28T15:06:35Z</dcterms:modified>
</cp:coreProperties>
</file>