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75" windowWidth="15390" windowHeight="5370" tabRatio="814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MARCO AURÉLIO" sheetId="28" r:id="rId29"/>
    <sheet name="MARÍLIA ARRAES" sheetId="41" r:id="rId30"/>
    <sheet name="MARCOS DI BRIA" sheetId="27" r:id="rId31"/>
    <sheet name="NATÁLIA DE MENUDO" sheetId="35" r:id="rId32"/>
    <sheet name="RAFAEL ACIOLI" sheetId="8" r:id="rId33"/>
    <sheet name="RINALDO JÚNIOR" sheetId="47" r:id="rId34"/>
    <sheet name="RENATO ANTUNES" sheetId="31" r:id="rId35"/>
    <sheet name="RICARDO CRUZ" sheetId="40" r:id="rId36"/>
    <sheet name="RODRIGO COUTINHO" sheetId="45" r:id="rId37"/>
    <sheet name="ROGÉRIO DE LUCCA" sheetId="38" r:id="rId38"/>
    <sheet name="ROMERINHO JATOBÁ " sheetId="24" r:id="rId39"/>
    <sheet name="ROMERO ALBUQUERQUE" sheetId="46" r:id="rId40"/>
    <sheet name="SAMUEL SALAZAR" sheetId="48" r:id="rId41"/>
    <sheet name="WANDERSON SOBRAL" sheetId="44" r:id="rId42"/>
    <sheet name="WILTON BRITO" sheetId="51" r:id="rId43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12">'CARLOS GUEIROS'!$A$1:$M$23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40">'SAMUEL SALAZAR'!$A$1:$M$25</definedName>
    <definedName name="_xlnm.Print_Area" localSheetId="42">'WILTON BRITO'!$A$1:$M$25</definedName>
  </definedNames>
  <calcPr calcId="125725"/>
</workbook>
</file>

<file path=xl/calcChain.xml><?xml version="1.0" encoding="utf-8"?>
<calcChain xmlns="http://schemas.openxmlformats.org/spreadsheetml/2006/main">
  <c r="F22" i="31"/>
  <c r="F22" i="47"/>
  <c r="F22" i="9"/>
  <c r="F22" i="15"/>
  <c r="F22" i="3"/>
  <c r="F15"/>
  <c r="F14"/>
  <c r="F22" i="10"/>
  <c r="F22" i="19"/>
  <c r="F13"/>
  <c r="F22" i="26"/>
  <c r="F10"/>
  <c r="F22" i="30"/>
  <c r="F6"/>
  <c r="F22" i="33"/>
  <c r="F22" i="40"/>
  <c r="F22" i="45"/>
  <c r="F10" i="23"/>
  <c r="F22" i="21"/>
  <c r="F22" i="12"/>
  <c r="F22" i="8"/>
  <c r="L21"/>
  <c r="H21"/>
  <c r="L19"/>
  <c r="K19"/>
  <c r="K21" s="1"/>
  <c r="J19"/>
  <c r="J21" s="1"/>
  <c r="I19"/>
  <c r="I21" s="1"/>
  <c r="H19"/>
  <c r="G19"/>
  <c r="G21" s="1"/>
  <c r="F19"/>
  <c r="F21" s="1"/>
  <c r="F22" i="51"/>
  <c r="E22"/>
  <c r="F22" i="11"/>
  <c r="F15"/>
  <c r="F10"/>
  <c r="F22" i="4"/>
  <c r="F22" i="24"/>
  <c r="F22" i="17"/>
  <c r="F22" i="29"/>
  <c r="F22" i="48"/>
  <c r="F22" i="50"/>
  <c r="F22" i="2"/>
  <c r="F20"/>
  <c r="F22" i="20"/>
  <c r="F22" i="6"/>
  <c r="F15"/>
  <c r="F22" i="37"/>
  <c r="F22" i="5"/>
  <c r="F22" i="27" l="1"/>
  <c r="F12"/>
  <c r="F22" i="16"/>
  <c r="F9"/>
  <c r="F22" i="7"/>
  <c r="F20"/>
  <c r="F22" i="14"/>
  <c r="F22" i="22"/>
  <c r="F22" i="25"/>
  <c r="F5"/>
  <c r="F10"/>
  <c r="F19" s="1"/>
  <c r="F21" s="1"/>
  <c r="F22" i="35"/>
  <c r="F22" i="49"/>
  <c r="E22" i="31"/>
  <c r="D22" i="47"/>
  <c r="B22"/>
  <c r="E15" i="3"/>
  <c r="E10" i="26"/>
  <c r="E12" i="40"/>
  <c r="E6" i="30"/>
  <c r="E10" i="11"/>
  <c r="E15"/>
  <c r="E10" i="23"/>
  <c r="E13" i="6"/>
  <c r="E15"/>
  <c r="E5" i="25"/>
  <c r="E10"/>
  <c r="E12" i="12"/>
  <c r="E19" i="8"/>
  <c r="E21" s="1"/>
  <c r="E9" i="16"/>
  <c r="E12" i="27"/>
  <c r="E12" i="5"/>
  <c r="D15" i="45"/>
  <c r="D22" i="31"/>
  <c r="D19" i="8"/>
  <c r="D21" s="1"/>
  <c r="D12" i="27"/>
  <c r="D15" i="50"/>
  <c r="D15" i="23"/>
  <c r="D10"/>
  <c r="D10" i="25"/>
  <c r="D19" s="1"/>
  <c r="D21" s="1"/>
  <c r="D12" i="22"/>
  <c r="D15" i="3"/>
  <c r="D10" i="11"/>
  <c r="D9" i="14"/>
  <c r="D12" i="12"/>
  <c r="D15" i="6"/>
  <c r="D9" i="5"/>
  <c r="D12"/>
  <c r="D7" i="30"/>
  <c r="D15" i="2"/>
  <c r="D12" i="29"/>
  <c r="C22" i="47"/>
  <c r="L21"/>
  <c r="H21"/>
  <c r="E22"/>
  <c r="M19"/>
  <c r="M21" s="1"/>
  <c r="L19"/>
  <c r="K19"/>
  <c r="K21" s="1"/>
  <c r="J19"/>
  <c r="J21" s="1"/>
  <c r="I19"/>
  <c r="I21" s="1"/>
  <c r="H19"/>
  <c r="G19"/>
  <c r="G21" s="1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2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E19"/>
  <c r="E21" s="1"/>
  <c r="D19"/>
  <c r="D21" s="1"/>
  <c r="C19"/>
  <c r="C21" s="1"/>
  <c r="M19" i="13"/>
  <c r="M21" s="1"/>
  <c r="L19"/>
  <c r="L21" s="1"/>
  <c r="K19"/>
  <c r="K21" s="1"/>
  <c r="J19"/>
  <c r="J21" s="1"/>
  <c r="I19"/>
  <c r="I21" s="1"/>
  <c r="H19"/>
  <c r="H21" s="1"/>
  <c r="G19"/>
  <c r="G21" s="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7" i="25"/>
  <c r="C5"/>
  <c r="C10"/>
  <c r="M19"/>
  <c r="M21" s="1"/>
  <c r="L19"/>
  <c r="L21" s="1"/>
  <c r="K19"/>
  <c r="K21" s="1"/>
  <c r="J19"/>
  <c r="J21" s="1"/>
  <c r="I19"/>
  <c r="I21" s="1"/>
  <c r="H19"/>
  <c r="H21" s="1"/>
  <c r="G19"/>
  <c r="G21" s="1"/>
  <c r="E19"/>
  <c r="E21" s="1"/>
  <c r="F21" i="7" l="1"/>
  <c r="C19" i="25"/>
  <c r="C21" s="1"/>
  <c r="C12" i="27"/>
  <c r="C19" s="1"/>
  <c r="C21" s="1"/>
  <c r="B12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3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38"/>
  <c r="M21" s="1"/>
  <c r="L19"/>
  <c r="L21" s="1"/>
  <c r="K19"/>
  <c r="K21" s="1"/>
  <c r="J19"/>
  <c r="J21" s="1"/>
  <c r="I19"/>
  <c r="I21" s="1"/>
  <c r="H19"/>
  <c r="H21" s="1"/>
  <c r="G19"/>
  <c r="G21" s="1"/>
  <c r="M19" i="31"/>
  <c r="M21" s="1"/>
  <c r="L19"/>
  <c r="L21" s="1"/>
  <c r="K19"/>
  <c r="K21" s="1"/>
  <c r="J19"/>
  <c r="J21" s="1"/>
  <c r="I19"/>
  <c r="I21" s="1"/>
  <c r="H19"/>
  <c r="H21" s="1"/>
  <c r="G19"/>
  <c r="G21" s="1"/>
  <c r="C22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C12" i="5"/>
  <c r="D22" i="51" l="1"/>
  <c r="C22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5" i="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5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9"/>
  <c r="C21" s="1"/>
  <c r="C9" i="16"/>
  <c r="C19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20" i="4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4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2" i="2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5" i="3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2" i="1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9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E19"/>
  <c r="E21" s="1"/>
  <c r="C12" i="45"/>
  <c r="C15"/>
  <c r="L21"/>
  <c r="M19"/>
  <c r="M21" s="1"/>
  <c r="L19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0" i="23"/>
  <c r="C10"/>
  <c r="C19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F22" s="1"/>
  <c r="E19"/>
  <c r="E21" s="1"/>
  <c r="D19"/>
  <c r="D21" s="1"/>
  <c r="D22" i="9" l="1"/>
  <c r="E22"/>
  <c r="C22"/>
  <c r="E22" i="49"/>
  <c r="D22"/>
  <c r="C22"/>
  <c r="C22" i="50"/>
  <c r="E22"/>
  <c r="D22"/>
  <c r="C21" i="16"/>
  <c r="C21" i="4"/>
  <c r="C19" i="45"/>
  <c r="C21" s="1"/>
  <c r="C21" i="23"/>
  <c r="L21" i="15"/>
  <c r="M19"/>
  <c r="M21" s="1"/>
  <c r="L19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30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2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0" i="2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24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21" l="1"/>
  <c r="C19"/>
  <c r="C19" i="48" l="1"/>
  <c r="C21" s="1"/>
  <c r="B19"/>
  <c r="B21"/>
  <c r="B22" s="1"/>
  <c r="E22" l="1"/>
  <c r="C22"/>
  <c r="D22"/>
  <c r="B21" i="44"/>
  <c r="B22" s="1"/>
  <c r="B19"/>
  <c r="B19" i="11"/>
  <c r="B21" s="1"/>
  <c r="B19" i="10"/>
  <c r="B21" s="1"/>
  <c r="E22" i="11" l="1"/>
  <c r="C22"/>
  <c r="D22"/>
  <c r="E22" i="10"/>
  <c r="D22"/>
  <c r="C22"/>
  <c r="B22"/>
  <c r="B22" i="11"/>
  <c r="B19" i="30"/>
  <c r="B21" s="1"/>
  <c r="B19" i="33"/>
  <c r="B21" s="1"/>
  <c r="B19" i="26"/>
  <c r="B21" s="1"/>
  <c r="B19" i="28"/>
  <c r="B21" s="1"/>
  <c r="B22" s="1"/>
  <c r="B19" i="3"/>
  <c r="B19" i="45"/>
  <c r="B21" s="1"/>
  <c r="B19" i="21"/>
  <c r="B21" s="1"/>
  <c r="B22" i="41"/>
  <c r="B19" i="40"/>
  <c r="B21" s="1"/>
  <c r="C22" i="45" l="1"/>
  <c r="E22"/>
  <c r="D22"/>
  <c r="E22" i="33"/>
  <c r="C22"/>
  <c r="D22"/>
  <c r="E22" i="40"/>
  <c r="C22"/>
  <c r="D22"/>
  <c r="B22"/>
  <c r="E22" i="21"/>
  <c r="C22"/>
  <c r="D22"/>
  <c r="B22" i="26"/>
  <c r="E22"/>
  <c r="C22"/>
  <c r="D22"/>
  <c r="E22" i="30"/>
  <c r="D22"/>
  <c r="C22"/>
  <c r="B22" i="31"/>
  <c r="B22" i="33"/>
  <c r="B22" i="21"/>
  <c r="B22" i="30"/>
  <c r="B19" i="25"/>
  <c r="B21" s="1"/>
  <c r="B19" i="6"/>
  <c r="B21" s="1"/>
  <c r="B19" i="4"/>
  <c r="B21" s="1"/>
  <c r="B19" i="8"/>
  <c r="B21" s="1"/>
  <c r="B19" i="37"/>
  <c r="B21" s="1"/>
  <c r="B19" i="46"/>
  <c r="B21" s="1"/>
  <c r="B19" i="24"/>
  <c r="B21" s="1"/>
  <c r="B19" i="35"/>
  <c r="B21" s="1"/>
  <c r="B19" i="27"/>
  <c r="B21" s="1"/>
  <c r="B19" i="22"/>
  <c r="B21" s="1"/>
  <c r="B19" i="19"/>
  <c r="B21" s="1"/>
  <c r="B19" i="23"/>
  <c r="B21" s="1"/>
  <c r="B19" i="15"/>
  <c r="B21" s="1"/>
  <c r="B21" i="3"/>
  <c r="B19" i="16"/>
  <c r="B21" s="1"/>
  <c r="B19" i="17"/>
  <c r="B21" s="1"/>
  <c r="B19" i="14"/>
  <c r="B21" s="1"/>
  <c r="B19" i="12"/>
  <c r="B21" s="1"/>
  <c r="B19" i="7"/>
  <c r="B21" s="1"/>
  <c r="B19" i="5"/>
  <c r="B21" s="1"/>
  <c r="B19" i="2"/>
  <c r="B21" s="1"/>
  <c r="B19" i="29"/>
  <c r="B21" s="1"/>
  <c r="C22" l="1"/>
  <c r="E22"/>
  <c r="D22"/>
  <c r="B22"/>
  <c r="C22" i="12"/>
  <c r="E22"/>
  <c r="D22"/>
  <c r="E22" i="17"/>
  <c r="C22"/>
  <c r="D22"/>
  <c r="E22" i="3"/>
  <c r="C22"/>
  <c r="D22"/>
  <c r="E22" i="23"/>
  <c r="C22"/>
  <c r="D22"/>
  <c r="E22" i="22"/>
  <c r="C22"/>
  <c r="D22"/>
  <c r="B22" i="35"/>
  <c r="E22"/>
  <c r="C22"/>
  <c r="D22"/>
  <c r="B22" i="8"/>
  <c r="E22"/>
  <c r="C22"/>
  <c r="D22"/>
  <c r="E22" i="6"/>
  <c r="D22"/>
  <c r="C22"/>
  <c r="D22" i="5"/>
  <c r="C22"/>
  <c r="E22"/>
  <c r="E22" i="2"/>
  <c r="D22"/>
  <c r="C22"/>
  <c r="E22" i="7"/>
  <c r="C22"/>
  <c r="D22"/>
  <c r="E22" i="14"/>
  <c r="C22"/>
  <c r="D22"/>
  <c r="E22" i="16"/>
  <c r="C22"/>
  <c r="D22"/>
  <c r="E22" i="15"/>
  <c r="C22"/>
  <c r="D22"/>
  <c r="E22" i="19"/>
  <c r="C22"/>
  <c r="D22"/>
  <c r="E22" i="27"/>
  <c r="C22"/>
  <c r="B22"/>
  <c r="D22"/>
  <c r="E22" i="24"/>
  <c r="C22"/>
  <c r="D22"/>
  <c r="E22" i="37"/>
  <c r="C22"/>
  <c r="D22"/>
  <c r="D22" i="4"/>
  <c r="E22"/>
  <c r="C22"/>
  <c r="E22" i="25"/>
  <c r="C22"/>
  <c r="B22"/>
  <c r="D22"/>
  <c r="B22" i="3"/>
  <c r="B22" i="23"/>
  <c r="B22" i="24"/>
  <c r="B22" i="15"/>
  <c r="B22" i="19"/>
  <c r="B22" i="12"/>
  <c r="B19" i="20"/>
  <c r="B21" s="1"/>
  <c r="B22" i="9"/>
  <c r="B22" i="2"/>
  <c r="B22" i="17"/>
  <c r="B22" i="4"/>
  <c r="B22" i="14"/>
  <c r="B22" i="16"/>
  <c r="B22" i="7"/>
  <c r="B22" i="6"/>
  <c r="B22" i="5"/>
  <c r="B22" i="37"/>
  <c r="B22" i="22"/>
  <c r="B22" i="46"/>
  <c r="D22" i="20" l="1"/>
  <c r="E22"/>
  <c r="C22"/>
  <c r="B22"/>
  <c r="B22" i="45" l="1"/>
</calcChain>
</file>

<file path=xl/sharedStrings.xml><?xml version="1.0" encoding="utf-8"?>
<sst xmlns="http://schemas.openxmlformats.org/spreadsheetml/2006/main" count="1513" uniqueCount="89">
  <si>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</si>
  <si>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</si>
  <si>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</si>
  <si>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</si>
  <si>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</si>
  <si>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</si>
  <si>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</si>
  <si>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</si>
  <si>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</si>
  <si>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</si>
  <si>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</si>
  <si>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</si>
  <si>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</si>
  <si>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</si>
  <si>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</si>
  <si>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</si>
  <si>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</si>
  <si>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</si>
  <si>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</si>
  <si>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</si>
  <si>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</si>
  <si>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</si>
  <si>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</si>
  <si>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</si>
  <si>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</si>
  <si>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</si>
  <si>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</si>
  <si>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</si>
  <si>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</si>
  <si>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</si>
  <si>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</si>
  <si>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</si>
  <si>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</si>
  <si>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</si>
  <si>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</si>
  <si>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</si>
  <si>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</si>
  <si>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</si>
  <si>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</si>
  <si>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</si>
  <si>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</si>
  <si>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</si>
  <si>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</si>
  <si>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</si>
  <si>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</si>
  <si>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</si>
  <si>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</si>
  <si>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</si>
  <si>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</si>
  <si>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</si>
  <si>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</si>
  <si>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</si>
  <si>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</si>
  <si>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</si>
  <si>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</si>
  <si>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</si>
  <si>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</si>
  <si>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</si>
  <si>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</si>
  <si>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</si>
  <si>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</si>
  <si>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</si>
  <si>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</si>
  <si>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</si>
  <si>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</si>
  <si>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</si>
  <si>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</si>
  <si>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</si>
  <si>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</si>
  <si>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</si>
  <si>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</si>
  <si>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</si>
  <si>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</si>
  <si>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</si>
  <si>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</si>
  <si>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</si>
  <si>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</si>
  <si>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</si>
  <si>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</si>
  <si>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</si>
  <si>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</si>
  <si>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</si>
  <si>
    <t>VEREADOR Samuel Salazar - DEMONSTRATIVO DA VERBA INDENIZATORIA 2019</t>
  </si>
  <si>
    <t>Início da legislatura em fevereiro/2019.</t>
  </si>
  <si>
    <t>Janeiro foi o último mês de legislatura.</t>
  </si>
  <si>
    <t>VEREADOR Maria Goretti Cordeiro de Queiroz - DEMONSTRATIVO DA VERBA INDENIZATORIA 2019</t>
  </si>
  <si>
    <t>VEREADOR João da Costa Bezerra Filho - DEMONSTRATIVO DA VERBA INDENIZATORIA 2019</t>
  </si>
  <si>
    <t>VEREADOR José Wilton de Brito Cavalcanti - DEMONSTRATIVO DA VERBA INDENIZATORIA 2019</t>
  </si>
  <si>
    <t/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</si>
</sst>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0" fontId="3" fillId="3" borderId="0" xfId="0" applyFont="1" applyFill="1"/>
    <xf numFmtId="43" fontId="3" fillId="0" borderId="18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justify" vertical="top" wrapText="1"/>
    </xf>
    <xf numFmtId="0" fontId="3" fillId="0" borderId="26" xfId="0" applyNumberFormat="1" applyFont="1" applyFill="1" applyBorder="1" applyAlignment="1">
      <alignment horizontal="left" vertical="top" wrapText="1" indent="1"/>
    </xf>
    <xf numFmtId="0" fontId="3" fillId="0" borderId="25" xfId="0" applyNumberFormat="1" applyFont="1" applyFill="1" applyBorder="1" applyAlignment="1">
      <alignment horizontal="justify" vertical="top" wrapText="1"/>
    </xf>
    <xf numFmtId="43" fontId="3" fillId="0" borderId="25" xfId="1" applyFont="1" applyFill="1" applyBorder="1" applyAlignment="1">
      <alignment horizontal="justify" vertical="top" wrapText="1"/>
    </xf>
    <xf numFmtId="0" fontId="3" fillId="0" borderId="27" xfId="0" applyNumberFormat="1" applyFont="1" applyFill="1" applyBorder="1" applyAlignment="1">
      <alignment horizontal="justify" vertical="top" wrapText="1"/>
    </xf>
    <xf numFmtId="0" fontId="10" fillId="0" borderId="28" xfId="0" applyFont="1" applyFill="1" applyBorder="1"/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0" borderId="30" xfId="1" applyFont="1" applyFill="1" applyBorder="1"/>
    <xf numFmtId="2" fontId="11" fillId="0" borderId="30" xfId="1" applyNumberFormat="1" applyFont="1" applyFill="1" applyBorder="1"/>
    <xf numFmtId="43" fontId="11" fillId="0" borderId="31" xfId="1" applyFont="1" applyFill="1" applyBorder="1"/>
    <xf numFmtId="43" fontId="11" fillId="2" borderId="32" xfId="1" applyFont="1" applyFill="1" applyBorder="1" applyAlignment="1">
      <alignment horizontal="center"/>
    </xf>
    <xf numFmtId="43" fontId="11" fillId="2" borderId="33" xfId="1" applyFont="1" applyFill="1" applyBorder="1" applyAlignment="1">
      <alignment horizontal="center"/>
    </xf>
    <xf numFmtId="43" fontId="11" fillId="2" borderId="3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3" fontId="10" fillId="4" borderId="5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3" fontId="11" fillId="4" borderId="30" xfId="1" applyFont="1" applyFill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2" fontId="11" fillId="0" borderId="30" xfId="1" applyNumberFormat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43" fontId="11" fillId="4" borderId="33" xfId="1" applyFont="1" applyFill="1" applyBorder="1" applyAlignment="1">
      <alignment horizontal="center" vertical="center"/>
    </xf>
    <xf numFmtId="43" fontId="11" fillId="2" borderId="33" xfId="1" applyFont="1" applyFill="1" applyBorder="1" applyAlignment="1">
      <alignment horizontal="center" vertical="center"/>
    </xf>
    <xf numFmtId="43" fontId="11" fillId="2" borderId="34" xfId="1" applyFont="1" applyFill="1" applyBorder="1" applyAlignment="1">
      <alignment horizontal="center" vertical="center"/>
    </xf>
    <xf numFmtId="43" fontId="3" fillId="4" borderId="21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43" fontId="3" fillId="4" borderId="22" xfId="1" applyFont="1" applyFill="1" applyBorder="1" applyAlignment="1">
      <alignment horizontal="center" vertical="center"/>
    </xf>
    <xf numFmtId="43" fontId="10" fillId="4" borderId="13" xfId="1" applyFont="1" applyFill="1" applyBorder="1" applyAlignment="1">
      <alignment horizontal="center" vertical="center"/>
    </xf>
    <xf numFmtId="43" fontId="11" fillId="4" borderId="23" xfId="1" applyFont="1" applyFill="1" applyBorder="1" applyAlignment="1">
      <alignment horizontal="center" vertical="center"/>
    </xf>
    <xf numFmtId="43" fontId="11" fillId="4" borderId="35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justify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justify" vertical="center" wrapText="1"/>
    </xf>
    <xf numFmtId="43" fontId="3" fillId="0" borderId="25" xfId="1" applyFont="1" applyFill="1" applyBorder="1" applyAlignment="1">
      <alignment horizontal="justify" vertical="center" wrapText="1"/>
    </xf>
    <xf numFmtId="0" fontId="3" fillId="0" borderId="27" xfId="0" applyNumberFormat="1" applyFont="1" applyFill="1" applyBorder="1" applyAlignment="1">
      <alignment horizontal="justify" vertical="center" wrapText="1"/>
    </xf>
    <xf numFmtId="0" fontId="10" fillId="0" borderId="28" xfId="0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8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43" fontId="11" fillId="0" borderId="36" xfId="1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/>
    </xf>
    <xf numFmtId="43" fontId="11" fillId="0" borderId="30" xfId="1" applyFont="1" applyFill="1" applyBorder="1" applyAlignment="1">
      <alignment horizontal="right" vertical="center"/>
    </xf>
    <xf numFmtId="2" fontId="11" fillId="0" borderId="30" xfId="1" applyNumberFormat="1" applyFont="1" applyFill="1" applyBorder="1" applyAlignment="1">
      <alignment horizontal="right" vertical="center"/>
    </xf>
    <xf numFmtId="43" fontId="11" fillId="0" borderId="31" xfId="1" applyFont="1" applyFill="1" applyBorder="1" applyAlignment="1">
      <alignment horizontal="right" vertical="center"/>
    </xf>
    <xf numFmtId="43" fontId="11" fillId="2" borderId="32" xfId="1" applyFont="1" applyFill="1" applyBorder="1" applyAlignment="1">
      <alignment horizontal="right" vertical="center"/>
    </xf>
    <xf numFmtId="43" fontId="11" fillId="2" borderId="33" xfId="1" applyFont="1" applyFill="1" applyBorder="1" applyAlignment="1">
      <alignment horizontal="right" vertical="center"/>
    </xf>
    <xf numFmtId="43" fontId="11" fillId="2" borderId="3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/>
    </xf>
    <xf numFmtId="43" fontId="11" fillId="2" borderId="3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vertical="center"/>
    </xf>
    <xf numFmtId="43" fontId="11" fillId="2" borderId="35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43" fontId="3" fillId="0" borderId="20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3" fillId="0" borderId="21" xfId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3" fillId="0" borderId="18" xfId="1" applyFont="1" applyFill="1" applyBorder="1" applyAlignment="1">
      <alignment horizontal="left" vertical="center"/>
    </xf>
    <xf numFmtId="43" fontId="3" fillId="0" borderId="20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horizontal="left" vertical="center"/>
    </xf>
    <xf numFmtId="43" fontId="3" fillId="0" borderId="17" xfId="1" applyFont="1" applyFill="1" applyBorder="1" applyAlignment="1">
      <alignment horizontal="left" vertical="center"/>
    </xf>
    <xf numFmtId="43" fontId="3" fillId="0" borderId="22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left" vertical="center"/>
    </xf>
    <xf numFmtId="43" fontId="10" fillId="3" borderId="13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left" vertical="center"/>
    </xf>
    <xf numFmtId="43" fontId="11" fillId="0" borderId="23" xfId="1" applyFont="1" applyFill="1" applyBorder="1" applyAlignment="1">
      <alignment horizontal="left" vertical="center"/>
    </xf>
    <xf numFmtId="43" fontId="11" fillId="2" borderId="32" xfId="1" applyFont="1" applyFill="1" applyBorder="1" applyAlignment="1">
      <alignment horizontal="left" vertical="center"/>
    </xf>
    <xf numFmtId="43" fontId="11" fillId="2" borderId="33" xfId="1" applyFont="1" applyFill="1" applyBorder="1" applyAlignment="1">
      <alignment horizontal="left" vertical="center"/>
    </xf>
    <xf numFmtId="43" fontId="11" fillId="2" borderId="34" xfId="1" applyFont="1" applyFill="1" applyBorder="1" applyAlignment="1">
      <alignment horizontal="left" vertical="center"/>
    </xf>
    <xf numFmtId="43" fontId="11" fillId="2" borderId="29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left" vertical="center"/>
    </xf>
    <xf numFmtId="2" fontId="11" fillId="0" borderId="30" xfId="1" applyNumberFormat="1" applyFont="1" applyFill="1" applyBorder="1" applyAlignment="1">
      <alignment horizontal="left" vertical="center"/>
    </xf>
    <xf numFmtId="43" fontId="11" fillId="0" borderId="31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center" vertical="center"/>
    </xf>
    <xf numFmtId="2" fontId="11" fillId="0" borderId="30" xfId="1" applyNumberFormat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5" fillId="0" borderId="37" xfId="1" applyFont="1" applyBorder="1" applyAlignment="1">
      <alignment horizontal="center" vertical="center"/>
    </xf>
    <xf numFmtId="43" fontId="3" fillId="4" borderId="3" xfId="1" applyFont="1" applyFill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43" fontId="3" fillId="4" borderId="18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vertical="center"/>
    </xf>
    <xf numFmtId="43" fontId="11" fillId="4" borderId="30" xfId="1" applyFont="1" applyFill="1" applyBorder="1" applyAlignment="1">
      <alignment vertical="center"/>
    </xf>
    <xf numFmtId="2" fontId="11" fillId="4" borderId="30" xfId="1" applyNumberFormat="1" applyFont="1" applyFill="1" applyBorder="1" applyAlignment="1">
      <alignment vertical="center"/>
    </xf>
    <xf numFmtId="43" fontId="11" fillId="4" borderId="31" xfId="1" applyFont="1" applyFill="1" applyBorder="1" applyAlignment="1">
      <alignment vertical="center"/>
    </xf>
    <xf numFmtId="43" fontId="11" fillId="4" borderId="34" xfId="1" applyFont="1" applyFill="1" applyBorder="1" applyAlignment="1">
      <alignment horizontal="center" vertical="center"/>
    </xf>
    <xf numFmtId="43" fontId="11" fillId="2" borderId="30" xfId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justify" vertical="center"/>
    </xf>
    <xf numFmtId="43" fontId="3" fillId="0" borderId="3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11" fillId="2" borderId="4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11" xfId="0" quotePrefix="1" applyFont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tabSelected="1" zoomScaleNormal="100" workbookViewId="0">
      <selection activeCell="A2" sqref="A2:M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200" t="s">
        <v>88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1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5" t="s">
        <v>11</v>
      </c>
    </row>
    <row r="4" spans="1:14" s="58" customFormat="1" ht="11.25">
      <c r="A4" s="182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55" t="s">
        <v>20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59" t="s">
        <v>21</v>
      </c>
      <c r="B6" s="57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59" t="s">
        <v>22</v>
      </c>
      <c r="B7" s="57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59" t="s">
        <v>23</v>
      </c>
      <c r="B8" s="57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59" t="s">
        <v>24</v>
      </c>
      <c r="B9" s="57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59" t="s">
        <v>25</v>
      </c>
      <c r="B10" s="57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55" t="s">
        <v>26</v>
      </c>
      <c r="B11" s="61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17" customFormat="1" ht="15" customHeight="1">
      <c r="A12" s="62" t="s">
        <v>27</v>
      </c>
      <c r="B12" s="61">
        <v>4500</v>
      </c>
      <c r="C12" s="98">
        <f>2100+2100</f>
        <v>4200</v>
      </c>
      <c r="D12" s="98">
        <f>2325*2</f>
        <v>4650</v>
      </c>
      <c r="E12" s="96">
        <v>4500</v>
      </c>
      <c r="F12" s="98">
        <v>4650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15" customFormat="1" ht="15" customHeight="1">
      <c r="A13" s="62" t="s">
        <v>28</v>
      </c>
      <c r="B13" s="61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17" customFormat="1" ht="15" customHeight="1">
      <c r="A14" s="62" t="s">
        <v>29</v>
      </c>
      <c r="B14" s="61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15" customFormat="1" ht="15" customHeight="1">
      <c r="A15" s="62" t="s">
        <v>30</v>
      </c>
      <c r="B15" s="61">
        <v>0</v>
      </c>
      <c r="C15" s="98">
        <v>0</v>
      </c>
      <c r="D15" s="98">
        <v>141.5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15" customFormat="1" ht="15" customHeight="1">
      <c r="A16" s="62" t="s">
        <v>31</v>
      </c>
      <c r="B16" s="61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  <c r="N16" s="6"/>
    </row>
    <row r="17" spans="1:13" ht="15" customHeight="1">
      <c r="A17" s="62" t="s">
        <v>32</v>
      </c>
      <c r="B17" s="61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65" t="s">
        <v>33</v>
      </c>
      <c r="B18" s="92">
        <v>0</v>
      </c>
      <c r="C18" s="100">
        <v>412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4500</v>
      </c>
      <c r="C19" s="101">
        <f t="shared" ref="C19:M19" si="1">SUM(C5:C18)</f>
        <v>4612</v>
      </c>
      <c r="D19" s="101">
        <f t="shared" si="1"/>
        <v>4791.5</v>
      </c>
      <c r="E19" s="101">
        <f t="shared" si="1"/>
        <v>4500</v>
      </c>
      <c r="F19" s="101">
        <f t="shared" si="1"/>
        <v>4650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93">
        <v>0</v>
      </c>
      <c r="C20" s="98">
        <v>12</v>
      </c>
      <c r="D20" s="98">
        <v>191.5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4500</v>
      </c>
      <c r="F21" s="101">
        <f t="shared" si="2"/>
        <v>4650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77">
        <f>AVERAGE(B21)</f>
        <v>4500</v>
      </c>
      <c r="C22" s="111">
        <f>AVERAGE($B$21:C21)</f>
        <v>4550</v>
      </c>
      <c r="D22" s="111">
        <f>AVERAGE($B$21:D21)</f>
        <v>4566.666666666667</v>
      </c>
      <c r="E22" s="111">
        <f>AVERAGE($B$21:E21)</f>
        <v>4550</v>
      </c>
      <c r="F22" s="111">
        <f>AVERAGE($B$21:F21)</f>
        <v>4570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71" t="s">
        <v>13</v>
      </c>
      <c r="B23" s="170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F19" sqref="F19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26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9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9">
        <v>0</v>
      </c>
      <c r="C18" s="100">
        <v>3470</v>
      </c>
      <c r="D18" s="100">
        <v>0</v>
      </c>
      <c r="E18" s="96">
        <v>2775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123" t="s">
        <v>35</v>
      </c>
      <c r="C19" s="101">
        <f t="shared" ref="C19:M19" si="0">SUM(C5:C18)</f>
        <v>3470</v>
      </c>
      <c r="D19" s="123" t="s">
        <v>35</v>
      </c>
      <c r="E19" s="101">
        <f t="shared" si="0"/>
        <v>2775</v>
      </c>
      <c r="F19" s="123" t="s">
        <v>35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23">
        <v>0</v>
      </c>
      <c r="C21" s="101">
        <f t="shared" ref="C21:M21" si="1">C19-C20</f>
        <v>3470</v>
      </c>
      <c r="D21" s="123">
        <v>0</v>
      </c>
      <c r="E21" s="101">
        <f t="shared" si="1"/>
        <v>2775</v>
      </c>
      <c r="F21" s="123">
        <v>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111">
        <f>AVERAGE($B$21:C21)</f>
        <v>1735</v>
      </c>
      <c r="D22" s="111">
        <f>AVERAGE($B$21:D21)</f>
        <v>1156.6666666666667</v>
      </c>
      <c r="E22" s="111">
        <f>AVERAGE($B$21:E21)</f>
        <v>1561.25</v>
      </c>
      <c r="F22" s="111">
        <f>AVERAGE($B$21:F21)</f>
        <v>1249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30" t="s">
        <v>81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8" t="s">
        <v>27</v>
      </c>
      <c r="B12" s="113">
        <v>4200</v>
      </c>
      <c r="C12" s="98">
        <v>4200</v>
      </c>
      <c r="D12" s="98">
        <v>4200</v>
      </c>
      <c r="E12" s="98">
        <v>4200</v>
      </c>
      <c r="F12" s="98">
        <v>4200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4200</v>
      </c>
      <c r="C19" s="101">
        <f t="shared" ref="C19:M19" si="0">SUM(C5:C18)</f>
        <v>4200</v>
      </c>
      <c r="D19" s="101">
        <f t="shared" si="0"/>
        <v>4200</v>
      </c>
      <c r="E19" s="101">
        <f t="shared" si="0"/>
        <v>4200</v>
      </c>
      <c r="F19" s="101">
        <f t="shared" si="0"/>
        <v>4200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3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01">
        <f>B19-B20</f>
        <v>4200</v>
      </c>
      <c r="C21" s="101">
        <f t="shared" ref="C21:M21" si="1">C19-C20</f>
        <v>4200</v>
      </c>
      <c r="D21" s="101">
        <f t="shared" si="1"/>
        <v>4200</v>
      </c>
      <c r="E21" s="101">
        <f t="shared" si="1"/>
        <v>4200</v>
      </c>
      <c r="F21" s="101">
        <f t="shared" si="1"/>
        <v>4200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4200</v>
      </c>
      <c r="C22" s="111">
        <f>AVERAGE($B$21:C21)</f>
        <v>4200</v>
      </c>
      <c r="D22" s="111">
        <f>AVERAGE($B$21:D21)</f>
        <v>4200</v>
      </c>
      <c r="E22" s="111">
        <f>AVERAGE($B$21:E21)</f>
        <v>4200</v>
      </c>
      <c r="F22" s="111">
        <f>AVERAGE($B$21:F21)</f>
        <v>4200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2500</v>
      </c>
      <c r="C5" s="96">
        <v>2500</v>
      </c>
      <c r="D5" s="96">
        <v>2500</v>
      </c>
      <c r="E5" s="96">
        <v>2500</v>
      </c>
      <c r="F5" s="96">
        <v>2500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911.16</v>
      </c>
      <c r="C7" s="96">
        <v>685.32</v>
      </c>
      <c r="D7" s="96">
        <v>627.29</v>
      </c>
      <c r="E7" s="96">
        <v>607.17999999999995</v>
      </c>
      <c r="F7" s="96">
        <v>688.4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42.3</v>
      </c>
      <c r="C8" s="96">
        <v>42.56</v>
      </c>
      <c r="D8" s="96">
        <v>42.3</v>
      </c>
      <c r="E8" s="96">
        <v>42.3</v>
      </c>
      <c r="F8" s="96">
        <v>42.3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96">
        <v>0</v>
      </c>
      <c r="C9" s="96">
        <v>607.35</v>
      </c>
      <c r="D9" s="96">
        <f>607.35+185.1</f>
        <v>792.45</v>
      </c>
      <c r="E9" s="96">
        <v>607.35</v>
      </c>
      <c r="F9" s="96">
        <v>607.35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265.01</v>
      </c>
      <c r="C10" s="96">
        <v>329.19</v>
      </c>
      <c r="D10" s="96">
        <v>406.9</v>
      </c>
      <c r="E10" s="96">
        <v>259.72000000000003</v>
      </c>
      <c r="F10" s="96">
        <v>322.73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1026.27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199</v>
      </c>
      <c r="C15" s="98">
        <v>117.5</v>
      </c>
      <c r="D15" s="98">
        <v>80</v>
      </c>
      <c r="E15" s="96">
        <v>200</v>
      </c>
      <c r="F15" s="96">
        <v>99.5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3917.4700000000003</v>
      </c>
      <c r="C19" s="101">
        <f t="shared" si="0"/>
        <v>4281.92</v>
      </c>
      <c r="D19" s="101">
        <f t="shared" si="0"/>
        <v>4448.9399999999996</v>
      </c>
      <c r="E19" s="101">
        <f t="shared" si="0"/>
        <v>5242.82</v>
      </c>
      <c r="F19" s="101">
        <f t="shared" si="0"/>
        <v>4260.2800000000007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123.04</v>
      </c>
      <c r="C20" s="98">
        <v>116.22</v>
      </c>
      <c r="D20" s="98">
        <v>52.17</v>
      </c>
      <c r="E20" s="98">
        <v>642.82000000000005</v>
      </c>
      <c r="F20" s="98">
        <v>52.95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3794.4300000000003</v>
      </c>
      <c r="C21" s="101">
        <f t="shared" ref="C21:M21" si="1">C19-C20</f>
        <v>4165.7</v>
      </c>
      <c r="D21" s="101">
        <f t="shared" si="1"/>
        <v>4396.7699999999995</v>
      </c>
      <c r="E21" s="101">
        <f t="shared" si="1"/>
        <v>4600</v>
      </c>
      <c r="F21" s="101">
        <f t="shared" si="1"/>
        <v>4207.3300000000008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3794.4300000000003</v>
      </c>
      <c r="C22" s="111">
        <f>AVERAGE($B$21:C21)</f>
        <v>3980.0650000000001</v>
      </c>
      <c r="D22" s="111">
        <f>AVERAGE($B$21:D21)</f>
        <v>4118.9666666666662</v>
      </c>
      <c r="E22" s="111">
        <f>AVERAGE($B$21:E21)</f>
        <v>4239.2250000000004</v>
      </c>
      <c r="F22" s="111">
        <f>AVERAGE($B$21:F21)</f>
        <v>4232.8460000000005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3"/>
  <sheetViews>
    <sheetView zoomScaleNormal="100" workbookViewId="0">
      <selection activeCell="F22" sqref="F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02">
        <v>0</v>
      </c>
      <c r="C10" s="96">
        <v>0</v>
      </c>
      <c r="D10" s="96">
        <f>122.67+59.99</f>
        <v>182.66</v>
      </c>
      <c r="E10" s="96">
        <f>122.67+59.99</f>
        <v>182.66</v>
      </c>
      <c r="F10" s="96">
        <f>59.99+116.44</f>
        <v>176.43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8" customFormat="1" ht="15" customHeight="1">
      <c r="A12" s="88" t="s">
        <v>27</v>
      </c>
      <c r="B12" s="114">
        <v>1750</v>
      </c>
      <c r="C12" s="98">
        <v>1507.52</v>
      </c>
      <c r="D12" s="98">
        <v>1750</v>
      </c>
      <c r="E12" s="96">
        <v>1693.5</v>
      </c>
      <c r="F12" s="98">
        <v>1750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9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270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9" customFormat="1" ht="15" customHeight="1">
      <c r="A15" s="89" t="s">
        <v>30</v>
      </c>
      <c r="B15" s="114">
        <v>1301.7</v>
      </c>
      <c r="C15" s="98">
        <v>385.6</v>
      </c>
      <c r="D15" s="98">
        <v>1667.94</v>
      </c>
      <c r="E15" s="96">
        <f>409.4+189.8+1254.64</f>
        <v>1853.8400000000001</v>
      </c>
      <c r="F15" s="96">
        <f>59.9+79+466.8+832.7</f>
        <v>1438.4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3051.7</v>
      </c>
      <c r="C19" s="101">
        <f t="shared" ref="C19:M19" si="0">SUM(C5:C18)</f>
        <v>1893.12</v>
      </c>
      <c r="D19" s="101">
        <f t="shared" si="0"/>
        <v>3600.6000000000004</v>
      </c>
      <c r="E19" s="101">
        <f t="shared" si="0"/>
        <v>4000</v>
      </c>
      <c r="F19" s="101">
        <f t="shared" si="0"/>
        <v>3364.83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03">
        <v>0</v>
      </c>
      <c r="C20" s="98">
        <v>1326.07</v>
      </c>
      <c r="D20" s="98">
        <v>0.6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3051.7</v>
      </c>
      <c r="C21" s="101">
        <f t="shared" ref="C21:M21" si="1">C19-C20</f>
        <v>567.04999999999995</v>
      </c>
      <c r="D21" s="101">
        <f t="shared" si="1"/>
        <v>3600.0000000000005</v>
      </c>
      <c r="E21" s="101">
        <f t="shared" si="1"/>
        <v>4000</v>
      </c>
      <c r="F21" s="101">
        <f t="shared" si="1"/>
        <v>3364.83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3051.7</v>
      </c>
      <c r="C22" s="111">
        <f>AVERAGE($B$21:C21)</f>
        <v>1809.375</v>
      </c>
      <c r="D22" s="111">
        <f>AVERAGE($B$21:D21)</f>
        <v>2406.25</v>
      </c>
      <c r="E22" s="111">
        <f>AVERAGE($B$21:E21)</f>
        <v>2804.6875</v>
      </c>
      <c r="F22" s="111">
        <f>AVERAGE($B$21:F21)</f>
        <v>2916.7159999999999</v>
      </c>
      <c r="G22" s="111"/>
      <c r="H22" s="111"/>
      <c r="I22" s="111"/>
      <c r="J22" s="111"/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B25" s="7" t="s">
        <v>18</v>
      </c>
    </row>
    <row r="33" spans="13:13">
      <c r="M33" s="8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938.34</v>
      </c>
      <c r="C5" s="113">
        <v>938.34</v>
      </c>
      <c r="D5" s="113">
        <v>938.34</v>
      </c>
      <c r="E5" s="113">
        <v>938.34</v>
      </c>
      <c r="F5" s="96">
        <v>1000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144.59</v>
      </c>
      <c r="C7" s="96">
        <v>104.96</v>
      </c>
      <c r="D7" s="96">
        <v>203.67</v>
      </c>
      <c r="E7" s="96">
        <v>233.78</v>
      </c>
      <c r="F7" s="96">
        <v>230.05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40</v>
      </c>
      <c r="B12" s="113"/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3">
        <v>3500</v>
      </c>
      <c r="C14" s="113">
        <v>3500</v>
      </c>
      <c r="D14" s="113">
        <v>3500</v>
      </c>
      <c r="E14" s="113">
        <v>3500</v>
      </c>
      <c r="F14" s="113">
        <v>3500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4582.93</v>
      </c>
      <c r="C19" s="101">
        <f t="shared" ref="C19:M19" si="0">SUM(C5:C18)</f>
        <v>4543.3</v>
      </c>
      <c r="D19" s="101">
        <f t="shared" si="0"/>
        <v>4642.01</v>
      </c>
      <c r="E19" s="101">
        <f t="shared" si="0"/>
        <v>4672.12</v>
      </c>
      <c r="F19" s="101">
        <f t="shared" si="0"/>
        <v>4730.05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2.87</v>
      </c>
      <c r="C20" s="98">
        <v>0</v>
      </c>
      <c r="D20" s="98">
        <v>42.01</v>
      </c>
      <c r="E20" s="98">
        <v>72.12</v>
      </c>
      <c r="F20" s="98">
        <v>130.05000000000001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4580.0600000000004</v>
      </c>
      <c r="C21" s="101">
        <f t="shared" ref="C21:M21" si="1">C19-C20</f>
        <v>4543.3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4580.0600000000004</v>
      </c>
      <c r="C22" s="111">
        <f>AVERAGE($B$21:C21)</f>
        <v>4561.68</v>
      </c>
      <c r="D22" s="111">
        <f>AVERAGE($B$21:D21)</f>
        <v>4574.4533333333338</v>
      </c>
      <c r="E22" s="111">
        <f>AVERAGE($B$21:E21)</f>
        <v>4580.84</v>
      </c>
      <c r="F22" s="111">
        <f>AVERAGE($B$21:F21)</f>
        <v>4584.6720000000005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8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14">
        <v>2500</v>
      </c>
      <c r="C14" s="98">
        <v>2500</v>
      </c>
      <c r="D14" s="98">
        <v>2500</v>
      </c>
      <c r="E14" s="98">
        <v>2500</v>
      </c>
      <c r="F14" s="96">
        <f>2500+1000</f>
        <v>3500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8" customFormat="1" ht="15" customHeight="1">
      <c r="A15" s="88" t="s">
        <v>30</v>
      </c>
      <c r="B15" s="115">
        <v>471.6</v>
      </c>
      <c r="C15" s="98">
        <f>212.3+327.65</f>
        <v>539.95000000000005</v>
      </c>
      <c r="D15" s="98">
        <f>123.45+112.6+247.7</f>
        <v>483.75</v>
      </c>
      <c r="E15" s="96">
        <f>205.2+223.1</f>
        <v>428.29999999999995</v>
      </c>
      <c r="F15" s="96">
        <f>205+125.55</f>
        <v>330.55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60">
        <v>1610</v>
      </c>
      <c r="C18" s="100">
        <v>1570</v>
      </c>
      <c r="D18" s="100">
        <v>1480</v>
      </c>
      <c r="E18" s="96">
        <v>1600</v>
      </c>
      <c r="F18" s="96">
        <v>710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4581.6000000000004</v>
      </c>
      <c r="C19" s="101">
        <f t="shared" ref="C19:M19" si="0">SUM(C5:C18)</f>
        <v>4609.95</v>
      </c>
      <c r="D19" s="101">
        <f t="shared" si="0"/>
        <v>4463.75</v>
      </c>
      <c r="E19" s="101">
        <f t="shared" si="0"/>
        <v>4528.3</v>
      </c>
      <c r="F19" s="101">
        <f t="shared" si="0"/>
        <v>4540.55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16">
        <v>0</v>
      </c>
      <c r="C20" s="98">
        <v>9.9499999999999993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4581.6000000000004</v>
      </c>
      <c r="C21" s="101">
        <f t="shared" ref="C21:M21" si="1">C19-C20</f>
        <v>4600</v>
      </c>
      <c r="D21" s="101">
        <f t="shared" si="1"/>
        <v>4463.75</v>
      </c>
      <c r="E21" s="101">
        <f t="shared" si="1"/>
        <v>4528.3</v>
      </c>
      <c r="F21" s="101">
        <f t="shared" si="1"/>
        <v>4540.55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4581.6000000000004</v>
      </c>
      <c r="C22" s="111">
        <f>AVERAGE($B$21:C21)</f>
        <v>4590.8</v>
      </c>
      <c r="D22" s="111">
        <f>AVERAGE($B$21:D21)</f>
        <v>4548.45</v>
      </c>
      <c r="E22" s="111">
        <f>AVERAGE($B$21:E21)</f>
        <v>4543.4125000000004</v>
      </c>
      <c r="F22" s="111">
        <f>AVERAGE($B$21:F21)</f>
        <v>4542.84</v>
      </c>
      <c r="G22" s="111"/>
      <c r="H22" s="111"/>
      <c r="I22" s="111"/>
      <c r="J22" s="111"/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4000</v>
      </c>
      <c r="C5" s="96">
        <v>4000</v>
      </c>
      <c r="D5" s="96">
        <v>4000</v>
      </c>
      <c r="E5" s="96">
        <v>4000</v>
      </c>
      <c r="F5" s="96">
        <v>4000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524.58000000000004</v>
      </c>
      <c r="C7" s="96">
        <v>555.01</v>
      </c>
      <c r="D7" s="96">
        <v>815.22</v>
      </c>
      <c r="E7" s="96">
        <v>870.36</v>
      </c>
      <c r="F7" s="96">
        <v>818.42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239</v>
      </c>
      <c r="C8" s="96">
        <v>123.48</v>
      </c>
      <c r="D8" s="96">
        <v>153.75</v>
      </c>
      <c r="E8" s="96">
        <v>100.96</v>
      </c>
      <c r="F8" s="96">
        <v>51.78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f>408.43+143.27</f>
        <v>551.70000000000005</v>
      </c>
      <c r="D9" s="96">
        <v>144.69999999999999</v>
      </c>
      <c r="E9" s="96">
        <f>385.32+146.14</f>
        <v>531.46</v>
      </c>
      <c r="F9" s="96">
        <f>408.43+147.57</f>
        <v>556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165.7</v>
      </c>
      <c r="C10" s="96">
        <v>181.83</v>
      </c>
      <c r="D10" s="96">
        <v>0</v>
      </c>
      <c r="E10" s="96">
        <v>198.03</v>
      </c>
      <c r="F10" s="96">
        <v>186.05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03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4929.28</v>
      </c>
      <c r="C19" s="101">
        <f t="shared" ref="C19:M19" si="1">SUM(C5:C18)</f>
        <v>5412.0199999999995</v>
      </c>
      <c r="D19" s="101">
        <f t="shared" si="1"/>
        <v>5113.67</v>
      </c>
      <c r="E19" s="101">
        <f t="shared" si="1"/>
        <v>5700.8099999999995</v>
      </c>
      <c r="F19" s="101">
        <f t="shared" si="1"/>
        <v>5612.25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329.28</v>
      </c>
      <c r="C20" s="98">
        <v>812.02</v>
      </c>
      <c r="D20" s="98">
        <v>513.66999999999996</v>
      </c>
      <c r="E20" s="98">
        <v>1100.81</v>
      </c>
      <c r="F20" s="98">
        <v>1012.25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3200</v>
      </c>
      <c r="C5" s="96">
        <v>3200</v>
      </c>
      <c r="D5" s="96">
        <v>3200</v>
      </c>
      <c r="E5" s="96">
        <v>3200</v>
      </c>
      <c r="F5" s="96">
        <v>3200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1400</v>
      </c>
      <c r="C12" s="98">
        <v>1400</v>
      </c>
      <c r="D12" s="98">
        <v>1400</v>
      </c>
      <c r="E12" s="98">
        <v>1400</v>
      </c>
      <c r="F12" s="98">
        <v>1400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4600</v>
      </c>
      <c r="C19" s="101">
        <f t="shared" ref="C19:M19" si="1">SUM(C5:C18)</f>
        <v>4600</v>
      </c>
      <c r="D19" s="101">
        <f t="shared" si="1"/>
        <v>4600</v>
      </c>
      <c r="E19" s="101">
        <f t="shared" si="1"/>
        <v>4600</v>
      </c>
      <c r="F19" s="101">
        <f t="shared" si="1"/>
        <v>4600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3">
        <v>0</v>
      </c>
      <c r="C12" s="57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3">
        <v>0</v>
      </c>
      <c r="C14" s="57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>
        <f t="shared" ref="G19:M19" si="0">SUM(G5:G18)</f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f t="shared" ref="G21:M21" si="1">G19-G20</f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G12" sqref="G1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26">
        <v>3600</v>
      </c>
      <c r="C12" s="98">
        <v>3360</v>
      </c>
      <c r="D12" s="98">
        <v>3720</v>
      </c>
      <c r="E12" s="96">
        <v>4200</v>
      </c>
      <c r="F12" s="98">
        <v>4340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 t="shared" ref="B19" si="0">SUM(B5:B18)</f>
        <v>3600</v>
      </c>
      <c r="C19" s="101">
        <f t="shared" ref="C19:M19" si="1">SUM(C5:C18)</f>
        <v>3360</v>
      </c>
      <c r="D19" s="101">
        <f t="shared" si="1"/>
        <v>3720</v>
      </c>
      <c r="E19" s="101">
        <f t="shared" si="1"/>
        <v>4200</v>
      </c>
      <c r="F19" s="101">
        <f t="shared" si="1"/>
        <v>4340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3600</v>
      </c>
      <c r="C21" s="101">
        <f t="shared" ref="C21:M21" si="2">C19-C20</f>
        <v>3360</v>
      </c>
      <c r="D21" s="101">
        <f t="shared" si="2"/>
        <v>3720</v>
      </c>
      <c r="E21" s="101">
        <f t="shared" si="2"/>
        <v>4200</v>
      </c>
      <c r="F21" s="101">
        <f t="shared" si="2"/>
        <v>4340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s="58" customFormat="1" ht="15" customHeight="1" thickBot="1">
      <c r="A22" s="70" t="s">
        <v>12</v>
      </c>
      <c r="B22" s="117">
        <f>AVERAGE(B21)</f>
        <v>3600</v>
      </c>
      <c r="C22" s="111">
        <f>AVERAGE($B$21:C21)</f>
        <v>3480</v>
      </c>
      <c r="D22" s="111">
        <f>AVERAGE($B$21:D21)</f>
        <v>3560</v>
      </c>
      <c r="E22" s="111">
        <f>AVERAGE($B$21:E21)</f>
        <v>3720</v>
      </c>
      <c r="F22" s="111">
        <f>AVERAGE($B$21:F21)</f>
        <v>3844</v>
      </c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F8" sqref="F8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5" customFormat="1" ht="21.75" thickBot="1">
      <c r="A2" s="178" t="s">
        <v>43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751.25</v>
      </c>
      <c r="C7" s="96">
        <v>449.69</v>
      </c>
      <c r="D7" s="96">
        <v>596.65</v>
      </c>
      <c r="E7" s="96">
        <v>823.78</v>
      </c>
      <c r="F7" s="96">
        <v>902.65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121.5</v>
      </c>
      <c r="C8" s="96">
        <v>121.5</v>
      </c>
      <c r="D8" s="96">
        <v>121.5</v>
      </c>
      <c r="E8" s="96">
        <v>121.7</v>
      </c>
      <c r="F8" s="96">
        <v>122.5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436.24</v>
      </c>
      <c r="D9" s="96">
        <v>436.24</v>
      </c>
      <c r="E9" s="96">
        <v>436.24</v>
      </c>
      <c r="F9" s="96">
        <v>436.24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222.08</v>
      </c>
      <c r="C10" s="96">
        <v>223.65</v>
      </c>
      <c r="D10" s="96">
        <v>222.87</v>
      </c>
      <c r="E10" s="96">
        <v>230.51</v>
      </c>
      <c r="F10" s="96">
        <v>224.43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4">
        <v>600.4</v>
      </c>
      <c r="C15" s="98">
        <v>373</v>
      </c>
      <c r="D15" s="98">
        <f>117+480.7</f>
        <v>597.70000000000005</v>
      </c>
      <c r="E15" s="96">
        <v>237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1695.23</v>
      </c>
      <c r="C19" s="101">
        <f t="shared" ref="C19:M19" si="0">SUM(C5:C18)</f>
        <v>1604.0800000000002</v>
      </c>
      <c r="D19" s="101">
        <f t="shared" si="0"/>
        <v>1974.9599999999998</v>
      </c>
      <c r="E19" s="101">
        <f t="shared" si="0"/>
        <v>1849.23</v>
      </c>
      <c r="F19" s="101">
        <f t="shared" si="0"/>
        <v>1685.8200000000002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128</v>
      </c>
      <c r="C20" s="98">
        <v>0</v>
      </c>
      <c r="D20" s="98">
        <v>0</v>
      </c>
      <c r="E20" s="98">
        <v>9.6</v>
      </c>
      <c r="F20" s="98">
        <f>45.25+1.24+1</f>
        <v>47.49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1567.23</v>
      </c>
      <c r="C21" s="101">
        <f t="shared" ref="C21:M21" si="1">C19-C20</f>
        <v>1604.0800000000002</v>
      </c>
      <c r="D21" s="101">
        <f t="shared" si="1"/>
        <v>1974.9599999999998</v>
      </c>
      <c r="E21" s="101">
        <f t="shared" si="1"/>
        <v>1839.63</v>
      </c>
      <c r="F21" s="101">
        <f t="shared" si="1"/>
        <v>1638.3300000000002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1567.23</v>
      </c>
      <c r="C22" s="111">
        <f>AVERAGE($B$21:C21)</f>
        <v>1585.6550000000002</v>
      </c>
      <c r="D22" s="111">
        <f>AVERAGE($B$21:D21)</f>
        <v>1715.4233333333334</v>
      </c>
      <c r="E22" s="111">
        <f>AVERAGE($B$21:E21)</f>
        <v>1746.4750000000001</v>
      </c>
      <c r="F22" s="111">
        <f>AVERAGE($B$21:F21)</f>
        <v>1724.8460000000002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4753.33</v>
      </c>
      <c r="C12" s="98">
        <v>4293.33</v>
      </c>
      <c r="D12" s="98">
        <v>4753.33</v>
      </c>
      <c r="E12" s="96">
        <v>4600</v>
      </c>
      <c r="F12" s="98">
        <v>4753.33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4753.33</v>
      </c>
      <c r="C19" s="101">
        <f t="shared" ref="C19:M19" si="0">SUM(C5:C18)</f>
        <v>4293.33</v>
      </c>
      <c r="D19" s="101">
        <f t="shared" si="0"/>
        <v>4753.33</v>
      </c>
      <c r="E19" s="101">
        <f t="shared" si="0"/>
        <v>4600</v>
      </c>
      <c r="F19" s="101">
        <f t="shared" si="0"/>
        <v>4753.33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153.33000000000001</v>
      </c>
      <c r="C20" s="98">
        <v>0</v>
      </c>
      <c r="D20" s="98">
        <v>153.33000000000001</v>
      </c>
      <c r="E20" s="98">
        <v>0</v>
      </c>
      <c r="F20" s="98">
        <v>153.33000000000001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4293.33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4446.665</v>
      </c>
      <c r="D22" s="111">
        <f>AVERAGE($B$21:D21)</f>
        <v>4497.7766666666666</v>
      </c>
      <c r="E22" s="111">
        <f>AVERAGE($B$21:E21)</f>
        <v>4523.3325000000004</v>
      </c>
      <c r="F22" s="111">
        <f>AVERAGE($B$21:F21)</f>
        <v>4538.6660000000002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F15" sqref="F1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80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26">
        <v>2550</v>
      </c>
      <c r="C12" s="61">
        <v>4396</v>
      </c>
      <c r="D12" s="61">
        <v>4553</v>
      </c>
      <c r="E12" s="57">
        <v>4480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95">
        <v>0</v>
      </c>
      <c r="N12" s="20"/>
    </row>
    <row r="13" spans="1:14" s="15" customFormat="1" ht="15" customHeight="1">
      <c r="A13" s="88" t="s">
        <v>28</v>
      </c>
      <c r="B13" s="126">
        <v>0</v>
      </c>
      <c r="C13" s="61">
        <v>0</v>
      </c>
      <c r="D13" s="61">
        <v>0</v>
      </c>
      <c r="E13" s="57">
        <v>0</v>
      </c>
      <c r="F13" s="57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95">
        <v>0</v>
      </c>
    </row>
    <row r="14" spans="1:14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95">
        <v>0</v>
      </c>
    </row>
    <row r="15" spans="1:14" s="15" customFormat="1" ht="15" customHeight="1">
      <c r="A15" s="88" t="s">
        <v>30</v>
      </c>
      <c r="B15" s="126">
        <v>3000</v>
      </c>
      <c r="C15" s="61">
        <v>0</v>
      </c>
      <c r="D15" s="61">
        <v>0</v>
      </c>
      <c r="E15" s="57">
        <v>0</v>
      </c>
      <c r="F15" s="57">
        <v>3380.3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95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95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1800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5550</v>
      </c>
      <c r="C19" s="69">
        <f t="shared" ref="C19:M19" si="1">SUM(C5:C18)</f>
        <v>4396</v>
      </c>
      <c r="D19" s="69">
        <f t="shared" si="1"/>
        <v>4553</v>
      </c>
      <c r="E19" s="69">
        <f t="shared" si="1"/>
        <v>4480</v>
      </c>
      <c r="F19" s="69">
        <f t="shared" si="1"/>
        <v>5180.3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950</v>
      </c>
      <c r="C20" s="61">
        <v>0</v>
      </c>
      <c r="D20" s="61">
        <v>0</v>
      </c>
      <c r="E20" s="61">
        <v>0</v>
      </c>
      <c r="F20" s="61">
        <v>580.29999999999995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4600</v>
      </c>
      <c r="C21" s="69">
        <f t="shared" ref="C21:M21" si="2">C19-C20</f>
        <v>4396</v>
      </c>
      <c r="D21" s="69">
        <f t="shared" si="2"/>
        <v>4553</v>
      </c>
      <c r="E21" s="69">
        <f t="shared" si="2"/>
        <v>4480</v>
      </c>
      <c r="F21" s="69">
        <f t="shared" si="2"/>
        <v>4600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4498</v>
      </c>
      <c r="D22" s="77">
        <f>AVERAGE($B$21:D21)</f>
        <v>4516.333333333333</v>
      </c>
      <c r="E22" s="77">
        <f>AVERAGE($B$21:E21)</f>
        <v>4507.25</v>
      </c>
      <c r="F22" s="77">
        <f>AVERAGE($B$21:F21)</f>
        <v>4525.8</v>
      </c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147"/>
      <c r="E23" s="147"/>
      <c r="F23" s="147"/>
      <c r="G23" s="147"/>
      <c r="H23" s="147"/>
      <c r="I23" s="148"/>
      <c r="J23" s="147"/>
      <c r="K23" s="147"/>
      <c r="L23" s="147"/>
      <c r="M23" s="14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F19" sqref="F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2300</v>
      </c>
      <c r="F5" s="57">
        <v>2300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f>2380+2380</f>
        <v>4760</v>
      </c>
      <c r="D12" s="61">
        <v>5100</v>
      </c>
      <c r="E12" s="57">
        <v>2550</v>
      </c>
      <c r="F12" s="57">
        <v>2550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4760</v>
      </c>
      <c r="D19" s="69">
        <f t="shared" ref="D19:M19" si="0">SUM(D5:D18)</f>
        <v>5100</v>
      </c>
      <c r="E19" s="69">
        <f t="shared" si="0"/>
        <v>4850</v>
      </c>
      <c r="F19" s="69">
        <f t="shared" si="0"/>
        <v>4850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160</v>
      </c>
      <c r="D20" s="61">
        <v>500</v>
      </c>
      <c r="E20" s="61">
        <v>250</v>
      </c>
      <c r="F20" s="61">
        <v>250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83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1" sqref="F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6200</v>
      </c>
      <c r="C12" s="61">
        <v>5600</v>
      </c>
      <c r="D12" s="61">
        <v>6200</v>
      </c>
      <c r="E12" s="57">
        <v>6000</v>
      </c>
      <c r="F12" s="172">
        <v>4650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6200</v>
      </c>
      <c r="C19" s="69">
        <f>SUM(C5:C18)</f>
        <v>5600</v>
      </c>
      <c r="D19" s="69">
        <f t="shared" ref="D19:M19" si="1">SUM(D5:D18)</f>
        <v>6200</v>
      </c>
      <c r="E19" s="69">
        <f t="shared" si="1"/>
        <v>6000</v>
      </c>
      <c r="F19" s="69">
        <f t="shared" si="1"/>
        <v>4650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1600</v>
      </c>
      <c r="C20" s="61">
        <v>1000</v>
      </c>
      <c r="D20" s="61">
        <v>1600</v>
      </c>
      <c r="E20" s="61">
        <v>1400</v>
      </c>
      <c r="F20" s="61">
        <v>50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4600</v>
      </c>
      <c r="F21" s="69">
        <f t="shared" si="2"/>
        <v>4600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E5" sqref="E5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63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>
        <v>1655.79</v>
      </c>
      <c r="C5" s="57">
        <f>1500+3.9</f>
        <v>1503.9</v>
      </c>
      <c r="D5" s="57">
        <v>1503.9</v>
      </c>
      <c r="E5" s="57">
        <f>1614.3+264+3.9</f>
        <v>1882.2</v>
      </c>
      <c r="F5" s="57">
        <f>1614.3+3.9</f>
        <v>1618.2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3">
        <v>482.3</v>
      </c>
      <c r="C6" s="57">
        <v>477.48</v>
      </c>
      <c r="D6" s="57">
        <v>477.48</v>
      </c>
      <c r="E6" s="57">
        <v>477.48</v>
      </c>
      <c r="F6" s="57">
        <v>477.48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3">
        <v>540.49</v>
      </c>
      <c r="C7" s="57">
        <f>348.67+250.49</f>
        <v>599.16000000000008</v>
      </c>
      <c r="D7" s="57">
        <v>442.35</v>
      </c>
      <c r="E7" s="57">
        <v>484.93</v>
      </c>
      <c r="F7" s="57">
        <v>440.52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3">
        <v>0</v>
      </c>
      <c r="C9" s="57">
        <v>86.2</v>
      </c>
      <c r="D9" s="57">
        <v>86.2</v>
      </c>
      <c r="E9" s="57">
        <v>86.2</v>
      </c>
      <c r="F9" s="57">
        <v>86.2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3">
        <v>1305.94</v>
      </c>
      <c r="C10" s="57">
        <f>425+286.52+234.66+348.8</f>
        <v>1294.98</v>
      </c>
      <c r="D10" s="57">
        <f>425+259.79+229.99+389.9</f>
        <v>1304.6799999999998</v>
      </c>
      <c r="E10" s="57">
        <f>425+259.79+229.99+384.17</f>
        <v>1298.95</v>
      </c>
      <c r="F10" s="57">
        <f>425+229.99+259.79+357.35</f>
        <v>1272.1300000000001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4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4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4" s="15" customFormat="1" ht="15" customHeight="1">
      <c r="A15" s="89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  <c r="N16" s="6"/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88" t="s">
        <v>33</v>
      </c>
      <c r="B18" s="114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3984.52</v>
      </c>
      <c r="C19" s="69">
        <f>SUM(C5:C18)</f>
        <v>3961.72</v>
      </c>
      <c r="D19" s="69">
        <f t="shared" ref="D19:M19" si="1">SUM(D5:D18)</f>
        <v>3814.6099999999997</v>
      </c>
      <c r="E19" s="69">
        <f t="shared" si="1"/>
        <v>4229.76</v>
      </c>
      <c r="F19" s="69">
        <f t="shared" si="1"/>
        <v>3894.53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156.71</v>
      </c>
      <c r="C20" s="61">
        <v>10.09</v>
      </c>
      <c r="D20" s="61">
        <v>5.52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3827.81</v>
      </c>
      <c r="C21" s="69">
        <f>C19-C20</f>
        <v>3951.6299999999997</v>
      </c>
      <c r="D21" s="69">
        <f t="shared" ref="D21:M21" si="2">D19-D20</f>
        <v>3809.0899999999997</v>
      </c>
      <c r="E21" s="69">
        <f t="shared" si="2"/>
        <v>4229.76</v>
      </c>
      <c r="F21" s="69">
        <f t="shared" si="2"/>
        <v>3894.53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AVERAGE(A21:B21)</f>
        <v>3827.81</v>
      </c>
      <c r="C22" s="77">
        <f>AVERAGE($B$21:C21)</f>
        <v>3889.72</v>
      </c>
      <c r="D22" s="77">
        <f>AVERAGE($B$21:D21)</f>
        <v>3862.8433333333328</v>
      </c>
      <c r="E22" s="77">
        <f>AVERAGE($B$21:E21)</f>
        <v>3954.5724999999998</v>
      </c>
      <c r="F22" s="77">
        <f>AVERAGE($B$21:F21)</f>
        <v>3942.5639999999999</v>
      </c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9" t="s">
        <v>17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26">
        <v>1950</v>
      </c>
      <c r="C12" s="61">
        <v>1820</v>
      </c>
      <c r="D12" s="61">
        <v>1950</v>
      </c>
      <c r="E12" s="61">
        <v>1950</v>
      </c>
      <c r="F12" s="61">
        <v>1950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26">
        <v>1840</v>
      </c>
      <c r="C13" s="61">
        <v>759.6</v>
      </c>
      <c r="D13" s="61">
        <v>0</v>
      </c>
      <c r="E13" s="57">
        <v>0</v>
      </c>
      <c r="F13" s="57">
        <f>1606.47+643.53+150</f>
        <v>2400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9" t="s">
        <v>30</v>
      </c>
      <c r="B15" s="126">
        <v>0</v>
      </c>
      <c r="C15" s="61">
        <v>0</v>
      </c>
      <c r="D15" s="61">
        <v>0</v>
      </c>
      <c r="E15" s="57">
        <v>99.95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3790</v>
      </c>
      <c r="C19" s="69">
        <f>SUM(C5:C18)</f>
        <v>2579.6</v>
      </c>
      <c r="D19" s="69">
        <f t="shared" ref="D19:M19" si="1">SUM(D5:D18)</f>
        <v>1950</v>
      </c>
      <c r="E19" s="69">
        <f t="shared" si="1"/>
        <v>2049.9499999999998</v>
      </c>
      <c r="F19" s="69">
        <f t="shared" si="1"/>
        <v>4350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3790</v>
      </c>
      <c r="C21" s="69">
        <f>C19-C20</f>
        <v>2579.6</v>
      </c>
      <c r="D21" s="69">
        <f t="shared" ref="D21:M21" si="2">D19-D20</f>
        <v>1950</v>
      </c>
      <c r="E21" s="69">
        <f t="shared" si="2"/>
        <v>2049.9499999999998</v>
      </c>
      <c r="F21" s="69">
        <f t="shared" si="2"/>
        <v>4350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3790</v>
      </c>
      <c r="C22" s="77">
        <f>AVERAGE($B$21:C21)</f>
        <v>3184.8</v>
      </c>
      <c r="D22" s="77">
        <f>AVERAGE($B$21:D21)</f>
        <v>2773.2000000000003</v>
      </c>
      <c r="E22" s="77">
        <f>AVERAGE($B$21:E21)</f>
        <v>2592.3874999999998</v>
      </c>
      <c r="F22" s="77">
        <f>AVERAGE($B$21:F21)</f>
        <v>2943.91</v>
      </c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F21" sqref="F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7" t="s">
        <v>20</v>
      </c>
      <c r="B5" s="129">
        <v>3150</v>
      </c>
      <c r="C5" s="130">
        <v>3150</v>
      </c>
      <c r="D5" s="130">
        <v>0</v>
      </c>
      <c r="E5" s="130">
        <v>3250</v>
      </c>
      <c r="F5" s="130">
        <v>3250</v>
      </c>
      <c r="G5" s="130">
        <v>0</v>
      </c>
      <c r="H5" s="130">
        <v>0</v>
      </c>
      <c r="I5" s="130">
        <v>0</v>
      </c>
      <c r="J5" s="130">
        <v>0</v>
      </c>
      <c r="K5" s="130">
        <v>0</v>
      </c>
      <c r="L5" s="130">
        <v>0</v>
      </c>
      <c r="M5" s="131">
        <v>0</v>
      </c>
    </row>
    <row r="6" spans="1:13" ht="15" customHeight="1">
      <c r="A6" s="87" t="s">
        <v>21</v>
      </c>
      <c r="B6" s="129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1">
        <v>0</v>
      </c>
    </row>
    <row r="7" spans="1:13" ht="15" customHeight="1">
      <c r="A7" s="87" t="s">
        <v>22</v>
      </c>
      <c r="B7" s="129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0</v>
      </c>
      <c r="L7" s="130">
        <v>0</v>
      </c>
      <c r="M7" s="131">
        <v>0</v>
      </c>
    </row>
    <row r="8" spans="1:13" ht="15" customHeight="1">
      <c r="A8" s="87" t="s">
        <v>23</v>
      </c>
      <c r="B8" s="129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1">
        <v>0</v>
      </c>
    </row>
    <row r="9" spans="1:13" ht="15" customHeight="1">
      <c r="A9" s="87" t="s">
        <v>24</v>
      </c>
      <c r="B9" s="129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1">
        <v>0</v>
      </c>
    </row>
    <row r="10" spans="1:13" ht="15" customHeight="1">
      <c r="A10" s="87" t="s">
        <v>25</v>
      </c>
      <c r="B10" s="129">
        <v>366.66</v>
      </c>
      <c r="C10" s="130">
        <f>147.06+182.07</f>
        <v>329.13</v>
      </c>
      <c r="D10" s="130">
        <f>198.37+153.96</f>
        <v>352.33000000000004</v>
      </c>
      <c r="E10" s="130">
        <f>222.66+189.86</f>
        <v>412.52</v>
      </c>
      <c r="F10" s="130">
        <f>163.99+182.4</f>
        <v>346.39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1">
        <v>0</v>
      </c>
    </row>
    <row r="11" spans="1:13" ht="15" customHeight="1">
      <c r="A11" s="87" t="s">
        <v>26</v>
      </c>
      <c r="B11" s="132">
        <v>0</v>
      </c>
      <c r="C11" s="133">
        <v>0</v>
      </c>
      <c r="D11" s="133">
        <v>0</v>
      </c>
      <c r="E11" s="130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4">
        <v>0</v>
      </c>
    </row>
    <row r="12" spans="1:13" s="17" customFormat="1" ht="15" customHeight="1">
      <c r="A12" s="152" t="s">
        <v>27</v>
      </c>
      <c r="B12" s="132">
        <v>0</v>
      </c>
      <c r="C12" s="133">
        <v>0</v>
      </c>
      <c r="D12" s="133">
        <v>0</v>
      </c>
      <c r="E12" s="130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4">
        <v>0</v>
      </c>
    </row>
    <row r="13" spans="1:13" s="15" customFormat="1" ht="15" customHeight="1">
      <c r="A13" s="152" t="s">
        <v>28</v>
      </c>
      <c r="B13" s="132">
        <v>0</v>
      </c>
      <c r="C13" s="133">
        <v>0</v>
      </c>
      <c r="D13" s="133">
        <v>0</v>
      </c>
      <c r="E13" s="130">
        <v>0</v>
      </c>
      <c r="F13" s="130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4">
        <v>0</v>
      </c>
    </row>
    <row r="14" spans="1:13" s="17" customFormat="1" ht="15" customHeight="1">
      <c r="A14" s="152" t="s">
        <v>29</v>
      </c>
      <c r="B14" s="132">
        <v>0</v>
      </c>
      <c r="C14" s="133">
        <v>0</v>
      </c>
      <c r="D14" s="133">
        <v>0</v>
      </c>
      <c r="E14" s="130">
        <v>0</v>
      </c>
      <c r="F14" s="130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4">
        <v>0</v>
      </c>
    </row>
    <row r="15" spans="1:13" s="15" customFormat="1" ht="15" customHeight="1">
      <c r="A15" s="152" t="s">
        <v>30</v>
      </c>
      <c r="B15" s="132">
        <v>280.3</v>
      </c>
      <c r="C15" s="133">
        <v>347.95</v>
      </c>
      <c r="D15" s="133">
        <f>188+9.6</f>
        <v>197.6</v>
      </c>
      <c r="E15" s="130">
        <v>308.8</v>
      </c>
      <c r="F15" s="130">
        <v>218.1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4">
        <v>0</v>
      </c>
    </row>
    <row r="16" spans="1:13" s="15" customFormat="1" ht="15" customHeight="1">
      <c r="A16" s="152" t="s">
        <v>31</v>
      </c>
      <c r="B16" s="132">
        <v>0</v>
      </c>
      <c r="C16" s="133">
        <v>0</v>
      </c>
      <c r="D16" s="133">
        <v>0</v>
      </c>
      <c r="E16" s="130">
        <v>0</v>
      </c>
      <c r="F16" s="130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4">
        <v>0</v>
      </c>
    </row>
    <row r="17" spans="1:14" ht="15" customHeight="1">
      <c r="A17" s="152" t="s">
        <v>32</v>
      </c>
      <c r="B17" s="132">
        <v>0</v>
      </c>
      <c r="C17" s="133">
        <v>0</v>
      </c>
      <c r="D17" s="133">
        <v>0</v>
      </c>
      <c r="E17" s="130">
        <v>0</v>
      </c>
      <c r="F17" s="130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4">
        <v>0</v>
      </c>
    </row>
    <row r="18" spans="1:14" ht="15" customHeight="1" thickBot="1">
      <c r="A18" s="153" t="s">
        <v>33</v>
      </c>
      <c r="B18" s="135">
        <v>0</v>
      </c>
      <c r="C18" s="136">
        <v>0</v>
      </c>
      <c r="D18" s="136">
        <v>430</v>
      </c>
      <c r="E18" s="130">
        <v>0</v>
      </c>
      <c r="F18" s="130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4">
        <v>0</v>
      </c>
    </row>
    <row r="19" spans="1:14" ht="15" customHeight="1" thickBot="1">
      <c r="A19" s="150" t="s">
        <v>34</v>
      </c>
      <c r="B19" s="137">
        <f t="shared" ref="B19" si="0">SUM(B5:B18)</f>
        <v>3796.96</v>
      </c>
      <c r="C19" s="138">
        <f t="shared" ref="C19:M19" si="1">SUM(C5:C18)</f>
        <v>3827.08</v>
      </c>
      <c r="D19" s="138">
        <f t="shared" si="1"/>
        <v>979.93000000000006</v>
      </c>
      <c r="E19" s="138">
        <f t="shared" si="1"/>
        <v>3971.32</v>
      </c>
      <c r="F19" s="138">
        <f t="shared" si="1"/>
        <v>3814.49</v>
      </c>
      <c r="G19" s="138">
        <f t="shared" si="1"/>
        <v>0</v>
      </c>
      <c r="H19" s="138">
        <f t="shared" si="1"/>
        <v>0</v>
      </c>
      <c r="I19" s="138">
        <f t="shared" si="1"/>
        <v>0</v>
      </c>
      <c r="J19" s="138">
        <f t="shared" si="1"/>
        <v>0</v>
      </c>
      <c r="K19" s="138">
        <f t="shared" si="1"/>
        <v>0</v>
      </c>
      <c r="L19" s="138">
        <f t="shared" si="1"/>
        <v>0</v>
      </c>
      <c r="M19" s="138">
        <f t="shared" si="1"/>
        <v>0</v>
      </c>
      <c r="N19" s="14" t="s">
        <v>38</v>
      </c>
    </row>
    <row r="20" spans="1:14" ht="15" customHeight="1" thickBot="1">
      <c r="A20" s="151" t="s">
        <v>14</v>
      </c>
      <c r="B20" s="139">
        <v>47</v>
      </c>
      <c r="C20" s="133">
        <f>3.87+4.88</f>
        <v>8.75</v>
      </c>
      <c r="D20" s="133">
        <v>0</v>
      </c>
      <c r="E20" s="133">
        <v>23.5</v>
      </c>
      <c r="F20" s="133">
        <v>23.5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4">
        <v>0</v>
      </c>
    </row>
    <row r="21" spans="1:14" ht="15" customHeight="1" thickBot="1">
      <c r="A21" s="150" t="s">
        <v>15</v>
      </c>
      <c r="B21" s="137">
        <f>B19-B20</f>
        <v>3749.96</v>
      </c>
      <c r="C21" s="138">
        <f t="shared" ref="C21:M21" si="2">C19-C20</f>
        <v>3818.33</v>
      </c>
      <c r="D21" s="138">
        <f t="shared" si="2"/>
        <v>979.93000000000006</v>
      </c>
      <c r="E21" s="138">
        <f t="shared" si="2"/>
        <v>3947.82</v>
      </c>
      <c r="F21" s="138">
        <f t="shared" si="2"/>
        <v>3790.99</v>
      </c>
      <c r="G21" s="138">
        <f t="shared" si="2"/>
        <v>0</v>
      </c>
      <c r="H21" s="138">
        <f t="shared" si="2"/>
        <v>0</v>
      </c>
      <c r="I21" s="138">
        <f t="shared" si="2"/>
        <v>0</v>
      </c>
      <c r="J21" s="138">
        <f t="shared" si="2"/>
        <v>0</v>
      </c>
      <c r="K21" s="138">
        <f t="shared" si="2"/>
        <v>0</v>
      </c>
      <c r="L21" s="138">
        <f t="shared" si="2"/>
        <v>0</v>
      </c>
      <c r="M21" s="138">
        <f t="shared" si="2"/>
        <v>0</v>
      </c>
    </row>
    <row r="22" spans="1:14" ht="15" customHeight="1" thickBot="1">
      <c r="A22" s="151" t="s">
        <v>12</v>
      </c>
      <c r="B22" s="140">
        <f>AVERAGE(B21)</f>
        <v>3749.96</v>
      </c>
      <c r="C22" s="77">
        <f>AVERAGE($B$21:C21)</f>
        <v>3784.145</v>
      </c>
      <c r="D22" s="77">
        <f>AVERAGE($B$21:D21)</f>
        <v>2849.4066666666663</v>
      </c>
      <c r="E22" s="77">
        <f>AVERAGE($B$21:E21)</f>
        <v>3124.0099999999998</v>
      </c>
      <c r="F22" s="77">
        <f>AVERAGE($B$21:F21)</f>
        <v>3257.4059999999999</v>
      </c>
      <c r="G22" s="141"/>
      <c r="H22" s="141"/>
      <c r="I22" s="141"/>
      <c r="J22" s="141"/>
      <c r="K22" s="141"/>
      <c r="L22" s="141"/>
      <c r="M22" s="142"/>
    </row>
    <row r="23" spans="1:14" ht="15" customHeight="1" thickBot="1">
      <c r="A23" s="154" t="s">
        <v>13</v>
      </c>
      <c r="B23" s="143"/>
      <c r="C23" s="144"/>
      <c r="D23" s="144"/>
      <c r="E23" s="144"/>
      <c r="F23" s="144"/>
      <c r="G23" s="144"/>
      <c r="H23" s="144"/>
      <c r="I23" s="145"/>
      <c r="J23" s="144"/>
      <c r="K23" s="144"/>
      <c r="L23" s="144"/>
      <c r="M23" s="146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A16" sqref="A1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2500</v>
      </c>
      <c r="D5" s="57">
        <v>2500</v>
      </c>
      <c r="E5" s="57">
        <v>2500</v>
      </c>
      <c r="F5" s="57">
        <v>2500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1862</v>
      </c>
      <c r="D12" s="61">
        <v>2061.5</v>
      </c>
      <c r="E12" s="57">
        <v>1995</v>
      </c>
      <c r="F12" s="61">
        <v>2061.5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8" t="s">
        <v>30</v>
      </c>
      <c r="B15" s="80">
        <v>0</v>
      </c>
      <c r="C15" s="61">
        <v>240</v>
      </c>
      <c r="D15" s="61">
        <f>5+39.9</f>
        <v>44.9</v>
      </c>
      <c r="E15" s="57">
        <v>114.5</v>
      </c>
      <c r="F15" s="57">
        <v>45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4602</v>
      </c>
      <c r="D19" s="69">
        <f t="shared" ref="D19:M19" si="0">SUM(D5:D18)</f>
        <v>4606.3999999999996</v>
      </c>
      <c r="E19" s="69">
        <f t="shared" si="0"/>
        <v>4609.5</v>
      </c>
      <c r="F19" s="69">
        <f t="shared" si="0"/>
        <v>4606.5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2</v>
      </c>
      <c r="D20" s="61">
        <v>6.4</v>
      </c>
      <c r="E20" s="61">
        <v>9.5</v>
      </c>
      <c r="F20" s="61">
        <v>6.5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83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4699.91</v>
      </c>
      <c r="C12" s="61">
        <f>2438.8+1806.28</f>
        <v>4245.08</v>
      </c>
      <c r="D12" s="61">
        <f>2700.1+2883</f>
        <v>5583.1</v>
      </c>
      <c r="E12" s="57">
        <v>5403</v>
      </c>
      <c r="F12" s="172">
        <v>5583.1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/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4699.91</v>
      </c>
      <c r="C19" s="69">
        <f>SUM(C5:C18)</f>
        <v>4245.08</v>
      </c>
      <c r="D19" s="69">
        <f t="shared" ref="D19:M19" si="0">SUM(D5:D18)</f>
        <v>5583.1</v>
      </c>
      <c r="E19" s="69">
        <f t="shared" si="0"/>
        <v>5403</v>
      </c>
      <c r="F19" s="69">
        <f t="shared" si="0"/>
        <v>5583.1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99.91</v>
      </c>
      <c r="C20" s="61">
        <v>0</v>
      </c>
      <c r="D20" s="61">
        <v>983.1</v>
      </c>
      <c r="E20" s="61">
        <v>803</v>
      </c>
      <c r="F20" s="61">
        <v>983.1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4245.08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4422.54</v>
      </c>
      <c r="D22" s="77">
        <f>AVERAGE($B$21:D21)</f>
        <v>4481.6933333333336</v>
      </c>
      <c r="E22" s="77">
        <f>AVERAGE($B$21:E21)</f>
        <v>4511.2700000000004</v>
      </c>
      <c r="F22" s="77">
        <f>AVERAGE($B$21:F21)</f>
        <v>4529.0160000000005</v>
      </c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5"/>
  <sheetViews>
    <sheetView zoomScaleNormal="100" workbookViewId="0">
      <selection activeCell="D20" sqref="D20"/>
    </sheetView>
  </sheetViews>
  <sheetFormatPr defaultRowHeight="12.75"/>
  <cols>
    <col min="1" max="1" width="52.28515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98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3" t="s">
        <v>11</v>
      </c>
    </row>
    <row r="4" spans="1:13" s="58" customFormat="1" ht="11.25">
      <c r="A4" s="199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ht="15" customHeight="1">
      <c r="A5" s="55" t="s">
        <v>20</v>
      </c>
      <c r="B5" s="57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59" t="s">
        <v>21</v>
      </c>
      <c r="B6" s="57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59" t="s">
        <v>22</v>
      </c>
      <c r="B7" s="57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59" t="s">
        <v>23</v>
      </c>
      <c r="B8" s="57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59" t="s">
        <v>24</v>
      </c>
      <c r="B9" s="57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59" t="s">
        <v>25</v>
      </c>
      <c r="B10" s="57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55" t="s">
        <v>26</v>
      </c>
      <c r="B11" s="5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62" t="s">
        <v>27</v>
      </c>
      <c r="B12" s="57">
        <v>5683.23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62" t="s">
        <v>28</v>
      </c>
      <c r="B13" s="57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62" t="s">
        <v>29</v>
      </c>
      <c r="B14" s="57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62" t="s">
        <v>30</v>
      </c>
      <c r="B15" s="5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62" t="s">
        <v>31</v>
      </c>
      <c r="B16" s="57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62" t="s">
        <v>32</v>
      </c>
      <c r="B17" s="57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65" t="s">
        <v>33</v>
      </c>
      <c r="B18" s="5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>SUM(B5:B18)</f>
        <v>5683.23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93">
        <v>1083.23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74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71" t="s">
        <v>13</v>
      </c>
      <c r="B23" s="175" t="s">
        <v>17</v>
      </c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84</v>
      </c>
      <c r="B25" s="11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F22" sqref="F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93" t="s">
        <v>19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</row>
    <row r="2" spans="1:14" ht="21.75" thickBot="1">
      <c r="A2" s="178" t="s">
        <v>44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9">
        <v>1200</v>
      </c>
      <c r="C5" s="96">
        <v>1200</v>
      </c>
      <c r="D5" s="96">
        <v>1291.3900000000001</v>
      </c>
      <c r="E5" s="96">
        <v>1291.3900000000001</v>
      </c>
      <c r="F5" s="96">
        <v>1291.3900000000001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9">
        <v>489.73</v>
      </c>
      <c r="C6" s="96">
        <v>490.96000000000004</v>
      </c>
      <c r="D6" s="96">
        <v>498.03999999999991</v>
      </c>
      <c r="E6" s="96">
        <f>2022-E5-E7-E9</f>
        <v>588.42999999999984</v>
      </c>
      <c r="F6" s="96">
        <f>2026.56-F5-F7-F9</f>
        <v>590.22999999999979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9">
        <v>21.96</v>
      </c>
      <c r="C7" s="96">
        <v>22.04</v>
      </c>
      <c r="D7" s="96">
        <f>22.57+23.12</f>
        <v>45.69</v>
      </c>
      <c r="E7" s="96">
        <v>43.36</v>
      </c>
      <c r="F7" s="96">
        <v>46.12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9">
        <v>98.82</v>
      </c>
      <c r="C9" s="96">
        <v>98.82</v>
      </c>
      <c r="D9" s="96">
        <v>98.82</v>
      </c>
      <c r="E9" s="96">
        <v>98.82</v>
      </c>
      <c r="F9" s="96">
        <v>98.82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26">
        <v>2480</v>
      </c>
      <c r="C12" s="98">
        <v>2436</v>
      </c>
      <c r="D12" s="98">
        <v>2697</v>
      </c>
      <c r="E12" s="96">
        <v>2610</v>
      </c>
      <c r="F12" s="98">
        <v>2697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128"/>
    </row>
    <row r="14" spans="1:14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4" customFormat="1" ht="15" customHeight="1">
      <c r="A15" s="88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>SUM(B5:B18)</f>
        <v>4290.51</v>
      </c>
      <c r="C19" s="101">
        <f t="shared" ref="C19:M19" si="0">SUM(C5:C18)</f>
        <v>4247.82</v>
      </c>
      <c r="D19" s="101">
        <f t="shared" si="0"/>
        <v>4630.9400000000005</v>
      </c>
      <c r="E19" s="101">
        <f t="shared" si="0"/>
        <v>4632</v>
      </c>
      <c r="F19" s="101">
        <f t="shared" si="0"/>
        <v>4723.5599999999995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30.94</v>
      </c>
      <c r="E20" s="98">
        <v>32</v>
      </c>
      <c r="F20" s="98">
        <v>123.56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4290.51</v>
      </c>
      <c r="C21" s="101">
        <f t="shared" ref="C21:M21" si="1">C19-C20</f>
        <v>4247.82</v>
      </c>
      <c r="D21" s="101">
        <f t="shared" si="1"/>
        <v>4600.0000000000009</v>
      </c>
      <c r="E21" s="101">
        <f t="shared" si="1"/>
        <v>4600</v>
      </c>
      <c r="F21" s="101">
        <f t="shared" si="1"/>
        <v>4599.9999999999991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7">
        <f>AVERAGE(B21)</f>
        <v>4290.51</v>
      </c>
      <c r="C22" s="111">
        <f>AVERAGE($B$21:C21)</f>
        <v>4269.165</v>
      </c>
      <c r="D22" s="111">
        <f>AVERAGE($B$21:D21)</f>
        <v>4379.4433333333336</v>
      </c>
      <c r="E22" s="111">
        <f>AVERAGE($B$21:E21)</f>
        <v>4434.5825000000004</v>
      </c>
      <c r="F22" s="111">
        <f>AVERAGE($B$21:F21)</f>
        <v>4467.6660000000002</v>
      </c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6"/>
  <sheetViews>
    <sheetView zoomScaleNormal="100" workbookViewId="0">
      <selection activeCell="D20" sqref="D20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8" t="s">
        <v>27</v>
      </c>
      <c r="B12" s="114">
        <v>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8" t="s">
        <v>30</v>
      </c>
      <c r="B15" s="114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 t="s">
        <v>35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4">
        <v>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v>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1" t="s">
        <v>81</v>
      </c>
    </row>
    <row r="26" spans="1:13">
      <c r="A26" s="32" t="s">
        <v>84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18" customFormat="1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5" customFormat="1" ht="15" customHeight="1">
      <c r="A12" s="88" t="s">
        <v>27</v>
      </c>
      <c r="B12" s="114">
        <f>3300+1400</f>
        <v>4700</v>
      </c>
      <c r="C12" s="61">
        <f>3300+1400</f>
        <v>4700</v>
      </c>
      <c r="D12" s="61">
        <f>3300+1400</f>
        <v>4700</v>
      </c>
      <c r="E12" s="61">
        <f>3300+1400</f>
        <v>4700</v>
      </c>
      <c r="F12" s="61">
        <f>3300+1400</f>
        <v>4700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8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5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4700</v>
      </c>
      <c r="C19" s="69">
        <f>SUM(C5:C18)</f>
        <v>4700</v>
      </c>
      <c r="D19" s="69">
        <f t="shared" ref="D19:M19" si="1">SUM(D5:D18)</f>
        <v>4700</v>
      </c>
      <c r="E19" s="69">
        <f t="shared" si="1"/>
        <v>4700</v>
      </c>
      <c r="F19" s="69">
        <f t="shared" si="1"/>
        <v>4700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100</v>
      </c>
      <c r="C20" s="61">
        <v>100</v>
      </c>
      <c r="D20" s="61">
        <v>100</v>
      </c>
      <c r="E20" s="61">
        <v>100</v>
      </c>
      <c r="F20" s="61">
        <v>100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4600</v>
      </c>
      <c r="F21" s="69">
        <f t="shared" si="2"/>
        <v>4600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opLeftCell="A2" zoomScaleNormal="100" workbookViewId="0">
      <selection activeCell="F5" sqref="F5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4550</v>
      </c>
      <c r="C12" s="61">
        <v>4550</v>
      </c>
      <c r="D12" s="61">
        <v>4570</v>
      </c>
      <c r="E12" s="61">
        <v>4570</v>
      </c>
      <c r="F12" s="172">
        <v>4500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4550</v>
      </c>
      <c r="C19" s="69">
        <f>SUM(C5:C18)</f>
        <v>4550</v>
      </c>
      <c r="D19" s="69">
        <f t="shared" ref="D19:M19" si="1">SUM(D5:D18)</f>
        <v>4570</v>
      </c>
      <c r="E19" s="69">
        <f t="shared" si="1"/>
        <v>4570</v>
      </c>
      <c r="F19" s="69">
        <f t="shared" si="1"/>
        <v>4500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4550</v>
      </c>
      <c r="C21" s="69">
        <f>C19-C20</f>
        <v>4550</v>
      </c>
      <c r="D21" s="69">
        <f t="shared" ref="D21:M21" si="2">D19-D20</f>
        <v>4570</v>
      </c>
      <c r="E21" s="69">
        <f t="shared" si="2"/>
        <v>4570</v>
      </c>
      <c r="F21" s="69">
        <f t="shared" si="2"/>
        <v>4500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4550</v>
      </c>
      <c r="C22" s="77">
        <f>AVERAGE($B$21:C21)</f>
        <v>4550</v>
      </c>
      <c r="D22" s="77">
        <f>AVERAGE($B$21:D21)</f>
        <v>4556.666666666667</v>
      </c>
      <c r="E22" s="77">
        <f>AVERAGE($B$21:E21)</f>
        <v>4560</v>
      </c>
      <c r="F22" s="77">
        <f>AVERAGE($B$21:F21)</f>
        <v>4548</v>
      </c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F12" sqref="F1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94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94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94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94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94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94">
        <v>0</v>
      </c>
      <c r="M10" s="94">
        <v>0</v>
      </c>
    </row>
    <row r="11" spans="1:13" s="9" customFormat="1" ht="15" customHeight="1">
      <c r="A11" s="86" t="s">
        <v>26</v>
      </c>
      <c r="B11" s="113">
        <v>0</v>
      </c>
      <c r="C11" s="61">
        <v>0</v>
      </c>
      <c r="D11" s="57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95">
        <v>0</v>
      </c>
      <c r="M11" s="95">
        <v>0</v>
      </c>
    </row>
    <row r="12" spans="1:13" s="6" customFormat="1" ht="15" customHeight="1">
      <c r="A12" s="88" t="s">
        <v>27</v>
      </c>
      <c r="B12" s="114">
        <v>4800</v>
      </c>
      <c r="C12" s="61">
        <v>0</v>
      </c>
      <c r="D12" s="172">
        <v>4800</v>
      </c>
      <c r="E12" s="172">
        <v>4800</v>
      </c>
      <c r="F12" s="172">
        <v>4800</v>
      </c>
      <c r="G12" s="172">
        <v>0</v>
      </c>
      <c r="H12" s="61">
        <v>0</v>
      </c>
      <c r="I12" s="172">
        <v>0</v>
      </c>
      <c r="J12" s="172">
        <v>0</v>
      </c>
      <c r="K12" s="172">
        <v>0</v>
      </c>
      <c r="L12" s="173">
        <v>0</v>
      </c>
      <c r="M12" s="95">
        <v>0</v>
      </c>
    </row>
    <row r="13" spans="1:13" s="9" customFormat="1" ht="15" customHeight="1">
      <c r="A13" s="88" t="s">
        <v>28</v>
      </c>
      <c r="B13" s="113">
        <v>0</v>
      </c>
      <c r="C13" s="61">
        <v>0</v>
      </c>
      <c r="D13" s="57">
        <v>0</v>
      </c>
      <c r="E13" s="57">
        <v>0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3">
        <v>0</v>
      </c>
      <c r="M13" s="173">
        <v>0</v>
      </c>
    </row>
    <row r="14" spans="1:13" s="6" customFormat="1" ht="15" customHeight="1">
      <c r="A14" s="88" t="s">
        <v>29</v>
      </c>
      <c r="B14" s="113">
        <v>0</v>
      </c>
      <c r="C14" s="61">
        <v>0</v>
      </c>
      <c r="D14" s="57">
        <v>0</v>
      </c>
      <c r="E14" s="57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3">
        <v>0</v>
      </c>
      <c r="M14" s="173">
        <v>0</v>
      </c>
    </row>
    <row r="15" spans="1:13" s="6" customFormat="1" ht="15" customHeight="1">
      <c r="A15" s="88" t="s">
        <v>30</v>
      </c>
      <c r="B15" s="113">
        <v>0</v>
      </c>
      <c r="C15" s="61">
        <v>0</v>
      </c>
      <c r="D15" s="57">
        <v>0</v>
      </c>
      <c r="E15" s="57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95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57">
        <v>0</v>
      </c>
      <c r="E16" s="57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3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57">
        <v>0</v>
      </c>
      <c r="E17" s="57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3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57">
        <v>0</v>
      </c>
      <c r="E18" s="57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95">
        <v>0</v>
      </c>
      <c r="M18" s="95">
        <v>0</v>
      </c>
    </row>
    <row r="19" spans="1:13" ht="15" customHeight="1" thickBot="1">
      <c r="A19" s="67" t="s">
        <v>34</v>
      </c>
      <c r="B19" s="69">
        <f t="shared" ref="B19:E19" si="0">SUM(B5:B18)</f>
        <v>4800</v>
      </c>
      <c r="C19" s="69" t="s">
        <v>35</v>
      </c>
      <c r="D19" s="69">
        <f t="shared" si="0"/>
        <v>4800</v>
      </c>
      <c r="E19" s="69">
        <f t="shared" si="0"/>
        <v>4800</v>
      </c>
      <c r="F19" s="69">
        <f t="shared" ref="F19:L19" si="1">SUM(F5:F18)</f>
        <v>4800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/>
    </row>
    <row r="20" spans="1:13" ht="15" customHeight="1" thickBot="1">
      <c r="A20" s="70" t="s">
        <v>14</v>
      </c>
      <c r="B20" s="116">
        <v>200</v>
      </c>
      <c r="C20" s="93">
        <v>0</v>
      </c>
      <c r="D20" s="116">
        <v>200</v>
      </c>
      <c r="E20" s="116">
        <v>200</v>
      </c>
      <c r="F20" s="116">
        <v>200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95">
        <v>0</v>
      </c>
      <c r="M20" s="95"/>
    </row>
    <row r="21" spans="1:13" ht="15" customHeight="1" thickBot="1">
      <c r="A21" s="67" t="s">
        <v>15</v>
      </c>
      <c r="B21" s="69">
        <f>B19-B20</f>
        <v>4600</v>
      </c>
      <c r="C21" s="69">
        <v>0</v>
      </c>
      <c r="D21" s="69">
        <f>D19-D20</f>
        <v>4600</v>
      </c>
      <c r="E21" s="69">
        <f>E19-E20</f>
        <v>4600</v>
      </c>
      <c r="F21" s="69">
        <f t="shared" ref="F21:L21" si="2">F19-F20</f>
        <v>4600</v>
      </c>
      <c r="G21" s="69">
        <f t="shared" si="2"/>
        <v>0</v>
      </c>
      <c r="H21" s="69">
        <f t="shared" si="2"/>
        <v>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/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2300</v>
      </c>
      <c r="D22" s="77">
        <f>AVERAGE($B$21:D21)</f>
        <v>3066.6666666666665</v>
      </c>
      <c r="E22" s="77">
        <f>AVERAGE($B$21:E21)</f>
        <v>3450</v>
      </c>
      <c r="F22" s="77">
        <f>AVERAGE($B$21:F21)</f>
        <v>3680</v>
      </c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F19" sqref="F19:F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ht="15" customHeight="1">
      <c r="A12" s="88" t="s">
        <v>27</v>
      </c>
      <c r="B12" s="113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ht="15" customHeight="1">
      <c r="A13" s="88" t="s">
        <v>28</v>
      </c>
      <c r="B13" s="113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ht="15" customHeight="1">
      <c r="A14" s="88" t="s">
        <v>29</v>
      </c>
      <c r="B14" s="113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ht="15" customHeight="1">
      <c r="A15" s="88" t="s">
        <v>30</v>
      </c>
      <c r="B15" s="113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>
        <f t="shared" ref="G19:M19" si="0">SUM(G5:G18)</f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f t="shared" ref="G21:M21" si="1">G19-G20</f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77">
        <f>AVERAGE(B21)</f>
        <v>0</v>
      </c>
      <c r="C22" s="77">
        <f>AVERAGE(C21)</f>
        <v>0</v>
      </c>
      <c r="D22" s="77">
        <f>AVERAGE(D21)</f>
        <v>0</v>
      </c>
      <c r="E22" s="77">
        <f>AVERAGE(E21)</f>
        <v>0</v>
      </c>
      <c r="F22" s="77">
        <f>AVERAGE(F21)</f>
        <v>0</v>
      </c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F19" sqref="F19:F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>
        <f t="shared" ref="G19:M19" si="0">SUM(G5:G18)</f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f t="shared" ref="G21:M21" si="1">G19-G20</f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77">
        <f>AVERAGE(C21)</f>
        <v>0</v>
      </c>
      <c r="D22" s="77">
        <f>AVERAGE(D21)</f>
        <v>0</v>
      </c>
      <c r="E22" s="77">
        <f>AVERAGE(E21)</f>
        <v>0</v>
      </c>
      <c r="F22" s="77">
        <f>AVERAGE(F21)</f>
        <v>0</v>
      </c>
      <c r="G22" s="77"/>
      <c r="H22" s="77"/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6" spans="1:13">
      <c r="A26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>
      <c r="A5" s="41" t="s">
        <v>20</v>
      </c>
      <c r="B5" s="36">
        <v>2000</v>
      </c>
      <c r="C5" s="23">
        <v>2000</v>
      </c>
      <c r="D5" s="23">
        <v>2000</v>
      </c>
      <c r="E5" s="23">
        <v>2000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>
      <c r="A6" s="42" t="s">
        <v>21</v>
      </c>
      <c r="B6" s="36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>
      <c r="A7" s="42" t="s">
        <v>22</v>
      </c>
      <c r="B7" s="36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>
      <c r="A8" s="42" t="s">
        <v>23</v>
      </c>
      <c r="B8" s="36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>
      <c r="A9" s="42" t="s">
        <v>24</v>
      </c>
      <c r="B9" s="36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>
      <c r="A10" s="42" t="s">
        <v>25</v>
      </c>
      <c r="B10" s="3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>
      <c r="A11" s="41" t="s">
        <v>26</v>
      </c>
      <c r="B11" s="37">
        <v>0</v>
      </c>
      <c r="C11" s="24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>
      <c r="A12" s="43" t="s">
        <v>27</v>
      </c>
      <c r="B12" s="37">
        <v>2170</v>
      </c>
      <c r="C12" s="24">
        <v>1960</v>
      </c>
      <c r="D12" s="24">
        <v>0</v>
      </c>
      <c r="E12" s="23">
        <f>2170+2100</f>
        <v>4270</v>
      </c>
      <c r="F12" s="25">
        <v>2170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>
      <c r="A13" s="43" t="s">
        <v>28</v>
      </c>
      <c r="B13" s="37">
        <v>0</v>
      </c>
      <c r="C13" s="24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>
      <c r="A14" s="43" t="s">
        <v>29</v>
      </c>
      <c r="B14" s="37">
        <v>0</v>
      </c>
      <c r="C14" s="24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>
      <c r="A15" s="44" t="s">
        <v>30</v>
      </c>
      <c r="B15" s="37">
        <v>0</v>
      </c>
      <c r="C15" s="24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ht="17.25" customHeight="1">
      <c r="A16" s="43" t="s">
        <v>31</v>
      </c>
      <c r="B16" s="37">
        <v>0</v>
      </c>
      <c r="C16" s="24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>
      <c r="A17" s="43" t="s">
        <v>32</v>
      </c>
      <c r="B17" s="37">
        <v>0</v>
      </c>
      <c r="C17" s="24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.75" thickBot="1">
      <c r="A18" s="45" t="s">
        <v>33</v>
      </c>
      <c r="B18" s="38">
        <v>0</v>
      </c>
      <c r="C18" s="26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.75" thickBot="1">
      <c r="A19" s="21" t="s">
        <v>34</v>
      </c>
      <c r="B19" s="39">
        <f>SUM(B5:B18)</f>
        <v>4170</v>
      </c>
      <c r="C19" s="22">
        <f>SUM(C5:C18)</f>
        <v>3960</v>
      </c>
      <c r="D19" s="22">
        <f t="shared" ref="D19:M19" si="0">SUM(D5:D18)</f>
        <v>2000</v>
      </c>
      <c r="E19" s="22">
        <f t="shared" si="0"/>
        <v>6270</v>
      </c>
      <c r="F19" s="22">
        <f t="shared" si="0"/>
        <v>2170</v>
      </c>
      <c r="G19" s="22">
        <f t="shared" si="0"/>
        <v>0</v>
      </c>
      <c r="H19" s="22">
        <f t="shared" si="0"/>
        <v>0</v>
      </c>
      <c r="I19" s="22">
        <f t="shared" si="0"/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.75" thickBot="1">
      <c r="A20" s="27" t="s">
        <v>14</v>
      </c>
      <c r="B20" s="40">
        <v>0</v>
      </c>
      <c r="C20" s="24">
        <v>0</v>
      </c>
      <c r="D20" s="24">
        <v>0</v>
      </c>
      <c r="E20" s="24">
        <v>1670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.75" thickBot="1">
      <c r="A21" s="21" t="s">
        <v>15</v>
      </c>
      <c r="B21" s="39">
        <f>B19-B20</f>
        <v>4170</v>
      </c>
      <c r="C21" s="22">
        <f>C19-C20</f>
        <v>3960</v>
      </c>
      <c r="D21" s="22">
        <f t="shared" ref="D21:M21" si="1">D19-D20</f>
        <v>2000</v>
      </c>
      <c r="E21" s="22">
        <f t="shared" si="1"/>
        <v>4600</v>
      </c>
      <c r="F21" s="22">
        <f t="shared" si="1"/>
        <v>2170</v>
      </c>
      <c r="G21" s="22">
        <f t="shared" si="1"/>
        <v>0</v>
      </c>
      <c r="H21" s="22">
        <f t="shared" si="1"/>
        <v>0</v>
      </c>
      <c r="I21" s="22">
        <f t="shared" si="1"/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.75" thickBot="1">
      <c r="A22" s="27" t="s">
        <v>12</v>
      </c>
      <c r="B22" s="52">
        <f>AVERAGE(B21)</f>
        <v>4170</v>
      </c>
      <c r="C22" s="53">
        <f>AVERAGE($B$21:C21)</f>
        <v>4065</v>
      </c>
      <c r="D22" s="53">
        <f>AVERAGE($B$21:D21)</f>
        <v>3376.6666666666665</v>
      </c>
      <c r="E22" s="53">
        <f>AVERAGE($B$21:E21)</f>
        <v>3682.5</v>
      </c>
      <c r="F22" s="53">
        <f>AVERAGE($B$21:F21)</f>
        <v>3380</v>
      </c>
      <c r="G22" s="53"/>
      <c r="H22" s="53"/>
      <c r="I22" s="53"/>
      <c r="J22" s="53"/>
      <c r="K22" s="53"/>
      <c r="L22" s="53"/>
      <c r="M22" s="54"/>
    </row>
    <row r="23" spans="1:13" ht="15.75" thickBot="1">
      <c r="A23" s="46" t="s">
        <v>13</v>
      </c>
      <c r="B23" s="47"/>
      <c r="C23" s="48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F18" sqref="F1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3">
        <v>700</v>
      </c>
      <c r="C5" s="96">
        <v>700</v>
      </c>
      <c r="D5" s="96">
        <v>700</v>
      </c>
      <c r="E5" s="96">
        <v>700</v>
      </c>
      <c r="F5" s="96">
        <v>700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3">
        <v>122.6</v>
      </c>
      <c r="C7" s="96">
        <v>31.39</v>
      </c>
      <c r="D7" s="96">
        <v>78.510000000000005</v>
      </c>
      <c r="E7" s="96">
        <v>80.73</v>
      </c>
      <c r="F7" s="96">
        <v>123.29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3">
        <v>61.95</v>
      </c>
      <c r="C8" s="96">
        <v>61.95</v>
      </c>
      <c r="D8" s="96">
        <v>61.95</v>
      </c>
      <c r="E8" s="96">
        <v>61.95</v>
      </c>
      <c r="F8" s="96">
        <v>61.95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13">
        <v>2686.77</v>
      </c>
      <c r="C12" s="98">
        <f>2426.67+800</f>
        <v>3226.67</v>
      </c>
      <c r="D12" s="98">
        <v>2686.67</v>
      </c>
      <c r="E12" s="96">
        <v>2600</v>
      </c>
      <c r="F12" s="98">
        <v>2686.67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64" t="s">
        <v>41</v>
      </c>
    </row>
    <row r="14" spans="1:14" s="63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  <c r="N14" s="64"/>
    </row>
    <row r="15" spans="1:14" s="64" customFormat="1" ht="15" customHeight="1">
      <c r="A15" s="88" t="s">
        <v>30</v>
      </c>
      <c r="B15" s="114">
        <v>0</v>
      </c>
      <c r="C15" s="98">
        <f>120.93</f>
        <v>120.93</v>
      </c>
      <c r="D15" s="98">
        <f>82.46+54.05+153.24</f>
        <v>289.75</v>
      </c>
      <c r="E15" s="96">
        <v>0</v>
      </c>
      <c r="F15" s="96">
        <v>68.12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  <c r="N17" s="64"/>
    </row>
    <row r="18" spans="1:14" s="58" customFormat="1" ht="15" customHeight="1" thickBot="1">
      <c r="A18" s="90" t="s">
        <v>33</v>
      </c>
      <c r="B18" s="11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  <c r="N18" s="64"/>
    </row>
    <row r="19" spans="1:14" s="58" customFormat="1" ht="15" customHeight="1" thickBot="1">
      <c r="A19" s="67" t="s">
        <v>34</v>
      </c>
      <c r="B19" s="69">
        <f>SUM(B4:B18)</f>
        <v>3571.32</v>
      </c>
      <c r="C19" s="101">
        <f t="shared" ref="C19:M19" si="0">SUM(C5:C18)</f>
        <v>4140.9400000000005</v>
      </c>
      <c r="D19" s="101">
        <f t="shared" si="0"/>
        <v>3816.88</v>
      </c>
      <c r="E19" s="101">
        <f t="shared" si="0"/>
        <v>3442.6800000000003</v>
      </c>
      <c r="F19" s="101">
        <f t="shared" si="0"/>
        <v>3640.0299999999997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  <c r="N19" s="64"/>
    </row>
    <row r="20" spans="1:14" s="58" customFormat="1" ht="15" customHeight="1" thickBot="1">
      <c r="A20" s="70" t="s">
        <v>14</v>
      </c>
      <c r="B20" s="116">
        <v>0</v>
      </c>
      <c r="C20" s="98">
        <v>0</v>
      </c>
      <c r="D20" s="98">
        <v>22.32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69">
        <f>B19-B20</f>
        <v>3571.32</v>
      </c>
      <c r="C21" s="101">
        <f t="shared" ref="C21:M21" si="1">C19-C20</f>
        <v>4140.9400000000005</v>
      </c>
      <c r="D21" s="101">
        <f t="shared" si="1"/>
        <v>3794.56</v>
      </c>
      <c r="E21" s="101">
        <f t="shared" si="1"/>
        <v>3442.6800000000003</v>
      </c>
      <c r="F21" s="101">
        <f t="shared" si="1"/>
        <v>3640.0299999999997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17">
        <f>AVERAGE(B21)</f>
        <v>3571.32</v>
      </c>
      <c r="C22" s="111">
        <f>AVERAGE($B$21:C21)</f>
        <v>3856.13</v>
      </c>
      <c r="D22" s="111">
        <f>AVERAGE($B$21:D21)</f>
        <v>3835.6066666666666</v>
      </c>
      <c r="E22" s="111">
        <f>AVERAGE($B$21:E21)</f>
        <v>3737.375</v>
      </c>
      <c r="F22" s="111">
        <f>AVERAGE($B$21:F21)</f>
        <v>3717.9059999999999</v>
      </c>
      <c r="G22" s="111"/>
      <c r="H22" s="111"/>
      <c r="I22" s="111"/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F19" sqref="F19:F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ht="15" customHeight="1">
      <c r="A6" s="87" t="s">
        <v>21</v>
      </c>
      <c r="B6" s="113">
        <v>0</v>
      </c>
      <c r="C6" s="57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ht="15" customHeight="1">
      <c r="A7" s="87" t="s">
        <v>22</v>
      </c>
      <c r="B7" s="113">
        <v>0</v>
      </c>
      <c r="C7" s="57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ht="15" customHeight="1">
      <c r="A8" s="87" t="s">
        <v>23</v>
      </c>
      <c r="B8" s="113">
        <v>0</v>
      </c>
      <c r="C8" s="57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ht="15" customHeight="1">
      <c r="A9" s="87" t="s">
        <v>24</v>
      </c>
      <c r="B9" s="113">
        <v>0</v>
      </c>
      <c r="C9" s="57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s="15" customFormat="1" ht="15" customHeight="1">
      <c r="A12" s="88" t="s">
        <v>27</v>
      </c>
      <c r="B12" s="113">
        <v>0</v>
      </c>
      <c r="C12" s="57">
        <v>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s="15" customFormat="1" ht="15" customHeight="1">
      <c r="A14" s="88" t="s">
        <v>29</v>
      </c>
      <c r="B14" s="113">
        <v>0</v>
      </c>
      <c r="C14" s="57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22">
        <f t="shared" ref="G19:M19" si="0">SUM(G5:G18)</f>
        <v>0</v>
      </c>
      <c r="H19" s="22">
        <f t="shared" si="0"/>
        <v>0</v>
      </c>
      <c r="I19" s="22">
        <f t="shared" si="0"/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22">
        <f t="shared" ref="G21:M21" si="1">G19-G20</f>
        <v>0</v>
      </c>
      <c r="H21" s="22">
        <f t="shared" si="1"/>
        <v>0</v>
      </c>
      <c r="I21" s="22">
        <f t="shared" si="1"/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53"/>
      <c r="H22" s="53"/>
      <c r="I22" s="53"/>
      <c r="J22" s="53"/>
      <c r="K22" s="53"/>
      <c r="L22" s="53"/>
      <c r="M22" s="54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  <row r="26" spans="1:13">
      <c r="A26" s="2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03">
        <v>4650</v>
      </c>
      <c r="C12" s="98">
        <v>4200</v>
      </c>
      <c r="D12" s="98">
        <v>4650</v>
      </c>
      <c r="E12" s="96">
        <v>4500</v>
      </c>
      <c r="F12" s="98">
        <v>4650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01">
        <f>SUM(B5:B18)</f>
        <v>4650</v>
      </c>
      <c r="C19" s="101">
        <f t="shared" ref="C19:M19" si="0">SUM(C5:C18)</f>
        <v>4200</v>
      </c>
      <c r="D19" s="101">
        <f t="shared" si="0"/>
        <v>4650</v>
      </c>
      <c r="E19" s="101">
        <f t="shared" si="0"/>
        <v>4500</v>
      </c>
      <c r="F19" s="101">
        <f t="shared" si="0"/>
        <v>4650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05">
        <v>50</v>
      </c>
      <c r="C20" s="98">
        <v>0</v>
      </c>
      <c r="D20" s="98">
        <v>50</v>
      </c>
      <c r="E20" s="98">
        <v>0</v>
      </c>
      <c r="F20" s="98">
        <v>50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01">
        <f>B19-B20</f>
        <v>4600</v>
      </c>
      <c r="C21" s="101">
        <f t="shared" ref="C21:M21" si="1">C19-C20</f>
        <v>4200</v>
      </c>
      <c r="D21" s="101">
        <f t="shared" si="1"/>
        <v>4600</v>
      </c>
      <c r="E21" s="101">
        <f t="shared" si="1"/>
        <v>4500</v>
      </c>
      <c r="F21" s="101">
        <f t="shared" si="1"/>
        <v>4600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0">
        <f>AVERAGE(B21)</f>
        <v>4600</v>
      </c>
      <c r="C22" s="111">
        <f>AVERAGE($B$21:C21)</f>
        <v>4400</v>
      </c>
      <c r="D22" s="111">
        <f>AVERAGE($B$21:D21)</f>
        <v>4466.666666666667</v>
      </c>
      <c r="E22" s="111">
        <f>AVERAGE($B$21:E21)</f>
        <v>4475</v>
      </c>
      <c r="F22" s="111">
        <f>AVERAGE($B$21:F21)</f>
        <v>4500</v>
      </c>
      <c r="G22" s="111"/>
      <c r="H22" s="111"/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06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1500</v>
      </c>
      <c r="C5" s="96">
        <v>1500</v>
      </c>
      <c r="D5" s="96">
        <v>1500</v>
      </c>
      <c r="E5" s="96">
        <v>1500</v>
      </c>
      <c r="F5" s="96">
        <v>1500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196.82</v>
      </c>
      <c r="C7" s="96">
        <v>240.23</v>
      </c>
      <c r="D7" s="96">
        <v>300.22000000000003</v>
      </c>
      <c r="E7" s="96">
        <v>284.86</v>
      </c>
      <c r="F7" s="96">
        <v>224.92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83.6</v>
      </c>
      <c r="C8" s="96">
        <v>83.6</v>
      </c>
      <c r="D8" s="96">
        <v>83.6</v>
      </c>
      <c r="E8" s="96">
        <v>83.6</v>
      </c>
      <c r="F8" s="96">
        <v>83.6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176.18</v>
      </c>
      <c r="C10" s="96">
        <v>152.19</v>
      </c>
      <c r="D10" s="96">
        <v>197.63</v>
      </c>
      <c r="E10" s="96">
        <v>185.95</v>
      </c>
      <c r="F10" s="96">
        <v>156.01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2800</v>
      </c>
      <c r="C12" s="98">
        <v>2800</v>
      </c>
      <c r="D12" s="98">
        <v>2800</v>
      </c>
      <c r="E12" s="98">
        <v>2800</v>
      </c>
      <c r="F12" s="98">
        <v>2800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171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>
      <c r="A19" s="67" t="s">
        <v>34</v>
      </c>
      <c r="B19" s="69">
        <f t="shared" ref="B19" si="0">SUM(B5:B18)</f>
        <v>4756.6000000000004</v>
      </c>
      <c r="C19" s="101">
        <f t="shared" ref="C19:M19" si="1">SUM(C5:C18)</f>
        <v>4776.0200000000004</v>
      </c>
      <c r="D19" s="101">
        <f t="shared" si="1"/>
        <v>4881.45</v>
      </c>
      <c r="E19" s="101">
        <f t="shared" si="1"/>
        <v>4854.41</v>
      </c>
      <c r="F19" s="101">
        <f t="shared" si="1"/>
        <v>4764.53</v>
      </c>
      <c r="G19" s="101">
        <f t="shared" si="1"/>
        <v>0</v>
      </c>
      <c r="H19" s="101">
        <f t="shared" si="1"/>
        <v>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3.5" thickBot="1">
      <c r="A20" s="70" t="s">
        <v>14</v>
      </c>
      <c r="B20" s="116">
        <v>156.6</v>
      </c>
      <c r="C20" s="98">
        <f>186.76+1</f>
        <v>187.76</v>
      </c>
      <c r="D20" s="98">
        <v>281.45</v>
      </c>
      <c r="E20" s="98">
        <v>254.41</v>
      </c>
      <c r="F20" s="98">
        <v>164.53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3.5" thickBot="1">
      <c r="A21" s="67" t="s">
        <v>15</v>
      </c>
      <c r="B21" s="69">
        <f>B19-B20</f>
        <v>4600</v>
      </c>
      <c r="C21" s="101">
        <f t="shared" ref="C21:M21" si="2">C19-C20</f>
        <v>4588.26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0</v>
      </c>
      <c r="H21" s="101">
        <f t="shared" si="2"/>
        <v>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3.5" thickBot="1">
      <c r="A22" s="70" t="s">
        <v>12</v>
      </c>
      <c r="B22" s="117">
        <f>AVERAGE(B21)</f>
        <v>4600</v>
      </c>
      <c r="C22" s="111">
        <f>AVERAGE($B$21:C21)</f>
        <v>4594.13</v>
      </c>
      <c r="D22" s="111">
        <f>AVERAGE($B$21:D21)</f>
        <v>4596.086666666667</v>
      </c>
      <c r="E22" s="111">
        <f>AVERAGE($B$21:E21)</f>
        <v>4597.0650000000005</v>
      </c>
      <c r="F22" s="111">
        <f>AVERAGE($B$21:F21)</f>
        <v>4597.652</v>
      </c>
      <c r="G22" s="111"/>
      <c r="H22" s="111"/>
      <c r="I22" s="111"/>
      <c r="J22" s="111"/>
      <c r="K22" s="111"/>
      <c r="L22" s="111"/>
      <c r="M22" s="112"/>
    </row>
    <row r="23" spans="1:13" ht="13.5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5"/>
  <sheetViews>
    <sheetView topLeftCell="A4" zoomScaleNormal="100"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88" t="s">
        <v>27</v>
      </c>
      <c r="B12" s="114">
        <v>4650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88" t="s">
        <v>30</v>
      </c>
      <c r="B15" s="114"/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 t="shared" ref="B19" si="0">SUM(B5:B18)</f>
        <v>4650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6">
        <v>50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F19" sqref="F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2700</v>
      </c>
      <c r="D5" s="57">
        <v>2700</v>
      </c>
      <c r="E5" s="57">
        <v>2700</v>
      </c>
      <c r="F5" s="57">
        <v>2700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1900</v>
      </c>
      <c r="D12" s="61">
        <v>1900</v>
      </c>
      <c r="E12" s="61">
        <v>1900</v>
      </c>
      <c r="F12" s="61">
        <v>1900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4600</v>
      </c>
      <c r="D19" s="69">
        <f t="shared" ref="D19:M19" si="0">SUM(D5:D18)</f>
        <v>4600</v>
      </c>
      <c r="E19" s="69">
        <f t="shared" si="0"/>
        <v>4600</v>
      </c>
      <c r="F19" s="69">
        <f t="shared" si="0"/>
        <v>4600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1900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2700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2700</v>
      </c>
      <c r="D22" s="77">
        <f>AVERAGE($C$21:D21)</f>
        <v>3650</v>
      </c>
      <c r="E22" s="77">
        <f>AVERAGE($C$21:E21)</f>
        <v>3966.6666666666665</v>
      </c>
      <c r="F22" s="77">
        <f>AVERAGE($C$21:F21)</f>
        <v>4125</v>
      </c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83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6"/>
  <sheetViews>
    <sheetView topLeftCell="A13" zoomScaleNormal="100" workbookViewId="0">
      <selection activeCell="D19" sqref="D19"/>
    </sheetView>
  </sheetViews>
  <sheetFormatPr defaultRowHeight="15"/>
  <cols>
    <col min="1" max="1" width="63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2400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6" t="s">
        <v>21</v>
      </c>
      <c r="B6" s="119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6" t="s">
        <v>22</v>
      </c>
      <c r="B7" s="119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6" t="s">
        <v>23</v>
      </c>
      <c r="B8" s="119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6" t="s">
        <v>24</v>
      </c>
      <c r="B9" s="119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6" t="s">
        <v>25</v>
      </c>
      <c r="B10" s="119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26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6" t="s">
        <v>27</v>
      </c>
      <c r="B12" s="126">
        <v>4940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6" t="s">
        <v>28</v>
      </c>
      <c r="B13" s="126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26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9" t="s">
        <v>30</v>
      </c>
      <c r="B15" s="126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26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26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2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123">
        <f>SUM(B5:B18)</f>
        <v>7340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22">
        <v>2740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123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25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84</v>
      </c>
    </row>
    <row r="26" spans="1:13">
      <c r="A26" s="29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F19" sqref="F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3840</v>
      </c>
      <c r="D12" s="61">
        <v>4960</v>
      </c>
      <c r="E12" s="57">
        <v>4640</v>
      </c>
      <c r="F12" s="172">
        <v>4800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3840</v>
      </c>
      <c r="D19" s="69">
        <f t="shared" ref="D19:M19" si="0">SUM(D5:D18)</f>
        <v>4960</v>
      </c>
      <c r="E19" s="69">
        <f t="shared" si="0"/>
        <v>4640</v>
      </c>
      <c r="F19" s="69">
        <f t="shared" si="0"/>
        <v>4800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0</v>
      </c>
      <c r="D20" s="61">
        <v>360</v>
      </c>
      <c r="E20" s="61">
        <v>40</v>
      </c>
      <c r="F20" s="61">
        <v>200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3840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0</v>
      </c>
      <c r="H21" s="69">
        <f t="shared" si="1"/>
        <v>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3840</v>
      </c>
      <c r="D22" s="77">
        <f>AVERAGE($C$21:D21)</f>
        <v>4220</v>
      </c>
      <c r="E22" s="77">
        <f>AVERAGE($C$21:E21)</f>
        <v>4346.666666666667</v>
      </c>
      <c r="F22" s="77">
        <f>AVERAGE($C$21:F21)</f>
        <v>4410</v>
      </c>
      <c r="G22" s="77"/>
      <c r="H22" s="77"/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83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F22" sqref="F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</v>
      </c>
      <c r="C5" s="96">
        <v>400</v>
      </c>
      <c r="D5" s="96">
        <v>430</v>
      </c>
      <c r="E5" s="96">
        <v>430</v>
      </c>
      <c r="F5" s="96">
        <v>430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6" t="s">
        <v>21</v>
      </c>
      <c r="B6" s="113">
        <v>650</v>
      </c>
      <c r="C6" s="96">
        <v>650</v>
      </c>
      <c r="D6" s="96">
        <v>670</v>
      </c>
      <c r="E6" s="96">
        <v>666.74</v>
      </c>
      <c r="F6" s="96">
        <v>666.52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6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6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6" t="s">
        <v>24</v>
      </c>
      <c r="B9" s="113">
        <v>80</v>
      </c>
      <c r="C9" s="96">
        <v>80</v>
      </c>
      <c r="D9" s="96">
        <f>100+85</f>
        <v>185</v>
      </c>
      <c r="E9" s="96">
        <v>85</v>
      </c>
      <c r="F9" s="96">
        <v>85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6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98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6" t="s">
        <v>27</v>
      </c>
      <c r="B12" s="114">
        <v>3520</v>
      </c>
      <c r="C12" s="98">
        <f>1360+2160</f>
        <v>3520</v>
      </c>
      <c r="D12" s="98">
        <f>1360+2160</f>
        <v>3520</v>
      </c>
      <c r="E12" s="96">
        <f>1360+2160</f>
        <v>3520</v>
      </c>
      <c r="F12" s="98">
        <v>3520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6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6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6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6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6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4650</v>
      </c>
      <c r="C19" s="101">
        <f t="shared" si="0"/>
        <v>4650</v>
      </c>
      <c r="D19" s="101">
        <f t="shared" si="0"/>
        <v>4805</v>
      </c>
      <c r="E19" s="101">
        <f t="shared" si="0"/>
        <v>4701.74</v>
      </c>
      <c r="F19" s="101">
        <f t="shared" si="0"/>
        <v>4701.5200000000004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50</v>
      </c>
      <c r="C20" s="98">
        <v>50</v>
      </c>
      <c r="D20" s="98">
        <v>205</v>
      </c>
      <c r="E20" s="98">
        <v>101.74</v>
      </c>
      <c r="F20" s="98">
        <v>101.52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4600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F21" sqref="F21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47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5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156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/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87" t="s">
        <v>25</v>
      </c>
      <c r="B10" s="113">
        <v>205.71</v>
      </c>
      <c r="C10" s="96">
        <v>205.71</v>
      </c>
      <c r="D10" s="96">
        <v>210.02</v>
      </c>
      <c r="E10" s="96">
        <v>205.71</v>
      </c>
      <c r="F10" s="96">
        <v>206.42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  <c r="N12" s="19"/>
    </row>
    <row r="13" spans="1:14" s="6" customFormat="1" ht="15" customHeight="1">
      <c r="A13" s="88" t="s">
        <v>28</v>
      </c>
      <c r="B13" s="103">
        <v>0</v>
      </c>
      <c r="C13" s="98">
        <v>1880</v>
      </c>
      <c r="D13" s="98">
        <v>0</v>
      </c>
      <c r="E13" s="96">
        <f>1112+705</f>
        <v>1817</v>
      </c>
      <c r="F13" s="96">
        <v>1652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9" customFormat="1" ht="15" customHeight="1">
      <c r="A14" s="88" t="s">
        <v>29</v>
      </c>
      <c r="B14" s="114">
        <v>2000</v>
      </c>
      <c r="C14" s="98">
        <v>2000</v>
      </c>
      <c r="D14" s="98">
        <v>2000</v>
      </c>
      <c r="E14" s="96">
        <v>2000</v>
      </c>
      <c r="F14" s="96">
        <v>2000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" customFormat="1" ht="15" customHeight="1">
      <c r="A15" s="88" t="s">
        <v>30</v>
      </c>
      <c r="B15" s="114">
        <v>430</v>
      </c>
      <c r="C15" s="98">
        <f>166.4+288</f>
        <v>454.4</v>
      </c>
      <c r="D15" s="98">
        <f>165+288</f>
        <v>453</v>
      </c>
      <c r="E15" s="96">
        <f>382.1+300</f>
        <v>682.1</v>
      </c>
      <c r="F15" s="96">
        <f>470</f>
        <v>470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190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2635.71</v>
      </c>
      <c r="C19" s="101">
        <f t="shared" si="0"/>
        <v>4540.1099999999997</v>
      </c>
      <c r="D19" s="101">
        <f t="shared" si="0"/>
        <v>2663.02</v>
      </c>
      <c r="E19" s="101">
        <f t="shared" si="0"/>
        <v>4704.8100000000004</v>
      </c>
      <c r="F19" s="101">
        <f t="shared" si="0"/>
        <v>4518.42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4.3099999999999996</v>
      </c>
      <c r="E20" s="98">
        <v>104.81</v>
      </c>
      <c r="F20" s="98">
        <v>4.45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2635.71</v>
      </c>
      <c r="C21" s="101">
        <f t="shared" ref="C21:M21" si="1">C19-C20</f>
        <v>4540.1099999999997</v>
      </c>
      <c r="D21" s="101">
        <f t="shared" si="1"/>
        <v>2658.71</v>
      </c>
      <c r="E21" s="101">
        <f t="shared" si="1"/>
        <v>4600</v>
      </c>
      <c r="F21" s="101">
        <f t="shared" si="1"/>
        <v>4513.97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2635.71</v>
      </c>
      <c r="C22" s="111">
        <f>AVERAGE($B$21:C21)</f>
        <v>3587.91</v>
      </c>
      <c r="D22" s="111">
        <f>AVERAGE($B$21:D21)</f>
        <v>3278.1766666666663</v>
      </c>
      <c r="E22" s="111">
        <f>AVERAGE($B$21:E21)</f>
        <v>3608.6324999999997</v>
      </c>
      <c r="F22" s="111">
        <f>AVERAGE($B$21:F21)</f>
        <v>3789.7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0" sqref="F20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4704</v>
      </c>
      <c r="C12" s="98">
        <v>2184</v>
      </c>
      <c r="D12" s="98">
        <v>4704</v>
      </c>
      <c r="E12" s="98">
        <v>4704</v>
      </c>
      <c r="F12" s="98">
        <v>4704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4704</v>
      </c>
      <c r="C19" s="101">
        <f t="shared" si="0"/>
        <v>2184</v>
      </c>
      <c r="D19" s="101">
        <f t="shared" si="0"/>
        <v>4704</v>
      </c>
      <c r="E19" s="101">
        <f t="shared" si="0"/>
        <v>4704</v>
      </c>
      <c r="F19" s="101">
        <f t="shared" si="0"/>
        <v>4704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104</v>
      </c>
      <c r="C20" s="98">
        <v>0</v>
      </c>
      <c r="D20" s="98">
        <v>104</v>
      </c>
      <c r="E20" s="98">
        <v>104</v>
      </c>
      <c r="F20" s="98">
        <f>104+28.07</f>
        <v>132.07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2184</v>
      </c>
      <c r="D21" s="101">
        <f t="shared" si="1"/>
        <v>4600</v>
      </c>
      <c r="E21" s="101">
        <f t="shared" si="1"/>
        <v>4600</v>
      </c>
      <c r="F21" s="101">
        <f t="shared" si="1"/>
        <v>4571.93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3392</v>
      </c>
      <c r="D22" s="111">
        <f>AVERAGE($B$21:D21)</f>
        <v>3794.6666666666665</v>
      </c>
      <c r="E22" s="111">
        <f>AVERAGE($B$21:E21)</f>
        <v>3996</v>
      </c>
      <c r="F22" s="111">
        <f>AVERAGE($B$21:F21)</f>
        <v>4111.1859999999997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2697</v>
      </c>
      <c r="C12" s="98">
        <f>1876+2436</f>
        <v>4312</v>
      </c>
      <c r="D12" s="98">
        <f>2010+2610</f>
        <v>4620</v>
      </c>
      <c r="E12" s="98">
        <f>2010+2610</f>
        <v>4620</v>
      </c>
      <c r="F12" s="98">
        <v>4774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1744.5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4441.5</v>
      </c>
      <c r="C19" s="101">
        <f t="shared" ref="C19:M19" si="0">SUM(C5:C18)</f>
        <v>4312</v>
      </c>
      <c r="D19" s="101">
        <f t="shared" si="0"/>
        <v>4620</v>
      </c>
      <c r="E19" s="101">
        <f t="shared" si="0"/>
        <v>4620</v>
      </c>
      <c r="F19" s="101">
        <f t="shared" si="0"/>
        <v>4774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98">
        <v>0</v>
      </c>
      <c r="C20" s="98">
        <v>0</v>
      </c>
      <c r="D20" s="98">
        <v>20</v>
      </c>
      <c r="E20" s="98">
        <v>20</v>
      </c>
      <c r="F20" s="98">
        <v>174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4441.5</v>
      </c>
      <c r="C21" s="101">
        <f t="shared" ref="C21:M21" si="1">C19-C20</f>
        <v>4312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4441.5</v>
      </c>
      <c r="C22" s="111">
        <f>AVERAGE($B$21:C21)</f>
        <v>4376.75</v>
      </c>
      <c r="D22" s="111">
        <f>AVERAGE($B$21:D21)</f>
        <v>4451.166666666667</v>
      </c>
      <c r="E22" s="111">
        <f>AVERAGE($B$21:E21)</f>
        <v>4488.375</v>
      </c>
      <c r="F22" s="111">
        <f>AVERAGE($B$21:F21)</f>
        <v>4510.7</v>
      </c>
      <c r="G22" s="111"/>
      <c r="H22" s="111"/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1900</v>
      </c>
      <c r="C5" s="96">
        <v>1900</v>
      </c>
      <c r="D5" s="96">
        <v>1900</v>
      </c>
      <c r="E5" s="96">
        <v>1900</v>
      </c>
      <c r="F5" s="96">
        <v>1900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720.13</v>
      </c>
      <c r="C6" s="96">
        <v>720.13</v>
      </c>
      <c r="D6" s="96">
        <v>720.13</v>
      </c>
      <c r="E6" s="96">
        <v>720.13</v>
      </c>
      <c r="F6" s="96">
        <v>720.13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271.62</v>
      </c>
      <c r="C7" s="96">
        <v>238.52</v>
      </c>
      <c r="D7" s="96">
        <v>382.24</v>
      </c>
      <c r="E7" s="96">
        <v>367.69</v>
      </c>
      <c r="F7" s="96">
        <v>376.62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298.70999999999998</v>
      </c>
      <c r="D9" s="96">
        <v>298.70999999999998</v>
      </c>
      <c r="E9" s="96">
        <v>298.70999999999998</v>
      </c>
      <c r="F9" s="96">
        <v>298.70999999999998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197.29</v>
      </c>
      <c r="C10" s="96">
        <f>98.98+94.98</f>
        <v>193.96</v>
      </c>
      <c r="D10" s="96">
        <v>105.66</v>
      </c>
      <c r="E10" s="96">
        <f>100.73+92.46+94.98</f>
        <v>288.17</v>
      </c>
      <c r="F10" s="96">
        <f>98.99+93.08</f>
        <v>192.07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19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8" t="s">
        <v>30</v>
      </c>
      <c r="B15" s="119">
        <v>0</v>
      </c>
      <c r="C15" s="98">
        <v>70.5</v>
      </c>
      <c r="D15" s="98">
        <v>59.7</v>
      </c>
      <c r="E15" s="96">
        <v>0</v>
      </c>
      <c r="F15" s="96">
        <v>121.1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4" s="58" customFormat="1" ht="15" customHeight="1" thickBot="1">
      <c r="A18" s="90" t="s">
        <v>33</v>
      </c>
      <c r="B18" s="120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4" s="58" customFormat="1" ht="15" customHeight="1" thickBot="1">
      <c r="A19" s="67" t="s">
        <v>34</v>
      </c>
      <c r="B19" s="121">
        <f>SUM(B5:B18)</f>
        <v>3089.04</v>
      </c>
      <c r="C19" s="101">
        <f t="shared" ref="C19:M19" si="0">SUM(C5:C18)</f>
        <v>3421.82</v>
      </c>
      <c r="D19" s="101">
        <f t="shared" si="0"/>
        <v>3466.4399999999996</v>
      </c>
      <c r="E19" s="101">
        <f t="shared" si="0"/>
        <v>3574.7000000000003</v>
      </c>
      <c r="F19" s="101">
        <f t="shared" si="0"/>
        <v>3608.63</v>
      </c>
      <c r="G19" s="101">
        <f t="shared" si="0"/>
        <v>0</v>
      </c>
      <c r="H19" s="101">
        <f t="shared" si="0"/>
        <v>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4" s="58" customFormat="1" ht="15" customHeight="1" thickBot="1">
      <c r="A20" s="70" t="s">
        <v>14</v>
      </c>
      <c r="B20" s="122">
        <v>0</v>
      </c>
      <c r="C20" s="98">
        <v>0</v>
      </c>
      <c r="D20" s="98">
        <v>1.68</v>
      </c>
      <c r="E20" s="98">
        <v>1.74</v>
      </c>
      <c r="F20" s="98">
        <v>2.42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123">
        <f>B19-B20</f>
        <v>3089.04</v>
      </c>
      <c r="C21" s="101">
        <f t="shared" ref="C21:M21" si="1">C19-C20</f>
        <v>3421.82</v>
      </c>
      <c r="D21" s="101">
        <f t="shared" si="1"/>
        <v>3464.7599999999998</v>
      </c>
      <c r="E21" s="101">
        <f t="shared" si="1"/>
        <v>3572.9600000000005</v>
      </c>
      <c r="F21" s="101">
        <f t="shared" si="1"/>
        <v>3606.21</v>
      </c>
      <c r="G21" s="101">
        <f t="shared" si="1"/>
        <v>0</v>
      </c>
      <c r="H21" s="101">
        <f t="shared" si="1"/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24">
        <f>AVERAGE(B21)</f>
        <v>3089.04</v>
      </c>
      <c r="C22" s="111">
        <f>AVERAGE($B$21:C21)</f>
        <v>3255.4300000000003</v>
      </c>
      <c r="D22" s="111">
        <f>AVERAGE($B$21:D21)</f>
        <v>3325.2066666666669</v>
      </c>
      <c r="E22" s="111">
        <f>AVERAGE($B$21:E21)</f>
        <v>3387.1450000000004</v>
      </c>
      <c r="F22" s="111">
        <f>AVERAGE($B$21:F21)</f>
        <v>3430.9580000000001</v>
      </c>
      <c r="G22" s="111"/>
      <c r="H22" s="111"/>
      <c r="I22" s="111"/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4" ht="15">
      <c r="A24"/>
      <c r="N24" s="14" t="s">
        <v>39</v>
      </c>
    </row>
    <row r="26" spans="1:14">
      <c r="A26" s="16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43</vt:i4>
      </vt:variant>
      <vt:variant>
        <vt:lpstr>Intervalos nomeados</vt:lpstr>
      </vt:variant>
      <vt:variant>
        <vt:i4>8</vt:i4>
      </vt:variant>
    </vt:vector>
  </HeadingPairs>
  <TitlesOfParts>
    <vt:vector size="51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SAMUEL SALAZAR</vt:lpstr>
      <vt:lpstr>WANDERSON SOBRAL</vt:lpstr>
      <vt:lpstr>WILTON BRITO</vt:lpstr>
      <vt:lpstr>'AIMÉE SILVA'!Area_de_impressao</vt:lpstr>
      <vt:lpstr>'ALMIR FERNANDO'!Area_de_impressao</vt:lpstr>
      <vt:lpstr>'CARLOS GUEIROS'!Area_de_impressao</vt:lpstr>
      <vt:lpstr>'GORETTI QUEIROZ'!Area_de_impressao</vt:lpstr>
      <vt:lpstr>'IVAN MORAES'!Area_de_impressao</vt:lpstr>
      <vt:lpstr>'JOÃO DA COSTA'!Area_de_impressao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2019-06-10T14:06:06Z</dcterms:modified>
</cp:coreProperties>
</file>