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390" windowHeight="5370" tabRatio="814" firstSheet="36" activeTab="42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IZE MICHELE" sheetId="3" r:id="rId15"/>
    <sheet name="DAVI MUNIZ" sheetId="16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MARCO AURÉLIO" sheetId="28" r:id="rId29"/>
    <sheet name="MARÍLIA ARRAES" sheetId="41" r:id="rId30"/>
    <sheet name="MARCOS DI BRIA" sheetId="27" r:id="rId31"/>
    <sheet name="NATÁLIA DE MENUDO" sheetId="35" r:id="rId32"/>
    <sheet name="RAFAEL ACIOLI" sheetId="8" r:id="rId33"/>
    <sheet name="RENATO ANTUNES" sheetId="31" r:id="rId34"/>
    <sheet name="RICARDO CRUZ" sheetId="40" r:id="rId35"/>
    <sheet name="RINALDO JÚNIOR" sheetId="47" r:id="rId36"/>
    <sheet name="RODRIGO COUTINHO" sheetId="45" r:id="rId37"/>
    <sheet name="ROGÉRIO DE LUCCA" sheetId="38" r:id="rId38"/>
    <sheet name="ROMERINHO JATOBÁ " sheetId="24" r:id="rId39"/>
    <sheet name="ROMERO ALBUQUERQUE" sheetId="46" r:id="rId40"/>
    <sheet name="SAMUEL SALAZAR" sheetId="48" r:id="rId41"/>
    <sheet name="WANDERSON SOBRAL" sheetId="44" r:id="rId42"/>
    <sheet name="WILTON BRITO" sheetId="51" r:id="rId43"/>
  </sheets>
  <definedNames>
    <definedName name="_xlnm.Print_Area" localSheetId="2">'AIMÉE SILVA'!$A$2:$M$23</definedName>
    <definedName name="_xlnm.Print_Area" localSheetId="5">'ALMIR FERNANDO'!$A$1:$M$23</definedName>
    <definedName name="_xlnm.Print_Area" localSheetId="12">'CARLOS GUEIROS'!$A$1:$M$23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40">'SAMUEL SALAZAR'!$A$1:$M$25</definedName>
    <definedName name="_xlnm.Print_Area" localSheetId="42">'WILTON BRITO'!$A$1:$M$25</definedName>
  </definedNames>
  <calcPr calcId="125725"/>
</workbook>
</file>

<file path=xl/calcChain.xml><?xml version="1.0" encoding="utf-8"?>
<calcChain xmlns="http://schemas.openxmlformats.org/spreadsheetml/2006/main">
  <c r="L22" i="2"/>
  <c r="L22" i="11"/>
  <c r="L15"/>
  <c r="L12"/>
  <c r="L10"/>
  <c r="L22" i="3"/>
  <c r="L15"/>
  <c r="L14"/>
  <c r="L22" i="19"/>
  <c r="L22" i="50"/>
  <c r="L22" i="33"/>
  <c r="L22" i="15" l="1"/>
  <c r="L12"/>
  <c r="L22" i="26"/>
  <c r="L10"/>
  <c r="L9" i="2"/>
  <c r="L22" i="21"/>
  <c r="L22" i="51"/>
  <c r="L22" i="45"/>
  <c r="L5"/>
  <c r="L22" i="17"/>
  <c r="L22" i="10"/>
  <c r="L22" i="40"/>
  <c r="L22" i="24"/>
  <c r="L22" i="12"/>
  <c r="L12"/>
  <c r="L22" i="8"/>
  <c r="L22" i="30"/>
  <c r="L6"/>
  <c r="K6"/>
  <c r="L22" i="23"/>
  <c r="L15"/>
  <c r="L10"/>
  <c r="L22" i="16"/>
  <c r="L22" i="29"/>
  <c r="L22" i="6"/>
  <c r="L15"/>
  <c r="L22" i="4"/>
  <c r="L22" i="14"/>
  <c r="L22" i="27"/>
  <c r="L12"/>
  <c r="L22" i="49"/>
  <c r="L22" i="5"/>
  <c r="L12"/>
  <c r="L22" i="37"/>
  <c r="L10" i="25"/>
  <c r="L9"/>
  <c r="L5"/>
  <c r="L22" i="48"/>
  <c r="L22" i="7"/>
  <c r="L20"/>
  <c r="L22" i="35"/>
  <c r="L22" i="22"/>
  <c r="L12"/>
  <c r="L22" i="20"/>
  <c r="K22" i="5"/>
  <c r="K22" i="15"/>
  <c r="K22" i="40"/>
  <c r="K19" i="13" l="1"/>
  <c r="J19"/>
  <c r="I19"/>
  <c r="H19"/>
  <c r="G19"/>
  <c r="F19"/>
  <c r="E19"/>
  <c r="D19"/>
  <c r="C19"/>
  <c r="B19"/>
  <c r="K19" i="38"/>
  <c r="J19"/>
  <c r="I19"/>
  <c r="H19"/>
  <c r="G19"/>
  <c r="F19"/>
  <c r="E19"/>
  <c r="D19"/>
  <c r="C19"/>
  <c r="B19"/>
  <c r="K19" i="47"/>
  <c r="J19"/>
  <c r="I19"/>
  <c r="H19"/>
  <c r="G19"/>
  <c r="F19"/>
  <c r="E19"/>
  <c r="D19"/>
  <c r="C19"/>
  <c r="B19"/>
  <c r="J19" i="31"/>
  <c r="I19"/>
  <c r="H19"/>
  <c r="G19"/>
  <c r="F19"/>
  <c r="E19"/>
  <c r="D19"/>
  <c r="C19"/>
  <c r="B19"/>
  <c r="K22" i="3"/>
  <c r="K15"/>
  <c r="K14"/>
  <c r="K22" i="9"/>
  <c r="K22" i="19"/>
  <c r="K13"/>
  <c r="K22" i="45"/>
  <c r="K5"/>
  <c r="K22" i="10" l="1"/>
  <c r="K22" i="23"/>
  <c r="K15"/>
  <c r="K10"/>
  <c r="K22" i="2"/>
  <c r="K15"/>
  <c r="K9"/>
  <c r="K22" i="51"/>
  <c r="K22" i="21"/>
  <c r="K22" i="50"/>
  <c r="K15" i="11"/>
  <c r="K20"/>
  <c r="K12"/>
  <c r="K10"/>
  <c r="K22" i="26"/>
  <c r="K10"/>
  <c r="K22" i="6"/>
  <c r="K15"/>
  <c r="K22" i="4"/>
  <c r="K22" i="30"/>
  <c r="J6"/>
  <c r="K22" i="17"/>
  <c r="K22" i="14"/>
  <c r="K22" i="37" l="1"/>
  <c r="K22" i="7"/>
  <c r="K12" i="5"/>
  <c r="K22" i="29"/>
  <c r="K12"/>
  <c r="K22" i="16"/>
  <c r="K22" i="20" l="1"/>
  <c r="K22" i="49"/>
  <c r="K22" i="27"/>
  <c r="K12"/>
  <c r="K22" i="8"/>
  <c r="K19"/>
  <c r="K21" s="1"/>
  <c r="K22" i="48"/>
  <c r="K22" i="22"/>
  <c r="K12"/>
  <c r="K22" i="35"/>
  <c r="K22" i="12"/>
  <c r="K12"/>
  <c r="K22" i="25"/>
  <c r="K10"/>
  <c r="K9"/>
  <c r="K5"/>
  <c r="J22" i="47"/>
  <c r="J22" i="31"/>
  <c r="J22" i="15"/>
  <c r="J22" i="19"/>
  <c r="J22" i="51"/>
  <c r="J22" i="3"/>
  <c r="J14"/>
  <c r="J22" i="9"/>
  <c r="J22" i="10"/>
  <c r="J22" i="45"/>
  <c r="J22" i="21"/>
  <c r="J22" i="26"/>
  <c r="J10"/>
  <c r="J22" i="8"/>
  <c r="J22" i="50"/>
  <c r="J22" i="30"/>
  <c r="J7"/>
  <c r="J22" i="11"/>
  <c r="J10"/>
  <c r="J12"/>
  <c r="J22" i="23"/>
  <c r="J15"/>
  <c r="J10"/>
  <c r="J22" i="40"/>
  <c r="J22" i="2"/>
  <c r="J9"/>
  <c r="J12" i="12"/>
  <c r="J22" i="6"/>
  <c r="J15"/>
  <c r="J13"/>
  <c r="J22" i="17"/>
  <c r="J22" i="4"/>
  <c r="J22" i="5"/>
  <c r="J12"/>
  <c r="J22" i="29"/>
  <c r="J22" i="33"/>
  <c r="J22" i="37"/>
  <c r="J22" i="27"/>
  <c r="J12"/>
  <c r="J22" i="14"/>
  <c r="J22" i="7"/>
  <c r="J20"/>
  <c r="J22" i="48"/>
  <c r="J22" i="49"/>
  <c r="J22" i="35"/>
  <c r="J22" i="22"/>
  <c r="J12"/>
  <c r="J22" i="25"/>
  <c r="J5"/>
  <c r="J9"/>
  <c r="J10"/>
  <c r="J22" i="16"/>
  <c r="J10"/>
  <c r="J22" i="20"/>
  <c r="I22" i="19" l="1"/>
  <c r="I22" i="9"/>
  <c r="I22" i="31"/>
  <c r="I22" i="47"/>
  <c r="I22" i="15"/>
  <c r="I22" i="3"/>
  <c r="I15"/>
  <c r="I14"/>
  <c r="I22" i="26"/>
  <c r="I10"/>
  <c r="I9"/>
  <c r="I22" i="10"/>
  <c r="I22" i="45"/>
  <c r="I22" i="33" l="1"/>
  <c r="I22" i="23"/>
  <c r="I10"/>
  <c r="I7"/>
  <c r="I22" i="2"/>
  <c r="I15"/>
  <c r="I9"/>
  <c r="I22" i="21"/>
  <c r="I22" i="17"/>
  <c r="I22" i="11"/>
  <c r="I15"/>
  <c r="I12"/>
  <c r="I10"/>
  <c r="I22" i="51"/>
  <c r="I22" i="30"/>
  <c r="I6"/>
  <c r="H6"/>
  <c r="I22" i="8"/>
  <c r="I12" i="12"/>
  <c r="I22" i="29"/>
  <c r="I12"/>
  <c r="I22" i="50"/>
  <c r="I22" i="6"/>
  <c r="I13"/>
  <c r="I15"/>
  <c r="I22" i="5"/>
  <c r="I12"/>
  <c r="I22" i="14"/>
  <c r="I22" i="37"/>
  <c r="I22" i="16"/>
  <c r="I22" i="22"/>
  <c r="I12"/>
  <c r="I22" i="27"/>
  <c r="I12"/>
  <c r="I22" i="49"/>
  <c r="I22" i="4"/>
  <c r="I22" i="7" l="1"/>
  <c r="I22" i="35"/>
  <c r="I22" i="48"/>
  <c r="I22" i="20"/>
  <c r="I22" i="25"/>
  <c r="I10"/>
  <c r="I9"/>
  <c r="I5"/>
  <c r="H22" i="45"/>
  <c r="H22" i="31"/>
  <c r="H22" i="47"/>
  <c r="H22" i="19"/>
  <c r="H22" i="15"/>
  <c r="H22" i="3"/>
  <c r="H15"/>
  <c r="H14"/>
  <c r="H22" i="9"/>
  <c r="H22" i="26"/>
  <c r="H10"/>
  <c r="H22" i="30" l="1"/>
  <c r="H22" i="10"/>
  <c r="H22" i="21"/>
  <c r="H22" i="51"/>
  <c r="H22" i="48"/>
  <c r="H22" i="8"/>
  <c r="H22" i="49"/>
  <c r="H22" i="35"/>
  <c r="H22" i="27"/>
  <c r="H12"/>
  <c r="H22" i="50"/>
  <c r="H22" i="22"/>
  <c r="H12"/>
  <c r="H10" i="23"/>
  <c r="H22" i="25"/>
  <c r="H10"/>
  <c r="H5"/>
  <c r="H22" i="20"/>
  <c r="H22" i="17"/>
  <c r="H22" i="37"/>
  <c r="H22" i="16"/>
  <c r="H22" i="11"/>
  <c r="H10"/>
  <c r="H22" i="14"/>
  <c r="H22" i="12"/>
  <c r="H12"/>
  <c r="H22" i="7"/>
  <c r="H20"/>
  <c r="H22" i="6"/>
  <c r="H15"/>
  <c r="H13"/>
  <c r="H22" i="5"/>
  <c r="H22" i="4"/>
  <c r="H22" i="2"/>
  <c r="H22" i="29"/>
  <c r="H12"/>
  <c r="G22" i="21" l="1"/>
  <c r="G22" i="19"/>
  <c r="G13"/>
  <c r="G22" i="45"/>
  <c r="G22" i="31"/>
  <c r="G22" i="47"/>
  <c r="G22" i="9"/>
  <c r="G22" i="10"/>
  <c r="G22" i="3"/>
  <c r="G15"/>
  <c r="G14"/>
  <c r="G22" i="30"/>
  <c r="G6"/>
  <c r="G7"/>
  <c r="G22" i="26" l="1"/>
  <c r="G10"/>
  <c r="G22" i="2"/>
  <c r="G15"/>
  <c r="G22" i="40"/>
  <c r="G22" i="4"/>
  <c r="G22" i="6"/>
  <c r="G15"/>
  <c r="G13"/>
  <c r="G22" i="23"/>
  <c r="G15"/>
  <c r="G10"/>
  <c r="G22" i="11"/>
  <c r="G15"/>
  <c r="G10"/>
  <c r="G22" i="12"/>
  <c r="G22" i="15"/>
  <c r="G22" i="5"/>
  <c r="G22" i="29"/>
  <c r="G12"/>
  <c r="G22" i="51"/>
  <c r="G22" i="37"/>
  <c r="G22" i="33"/>
  <c r="G22" i="48"/>
  <c r="G22" i="8"/>
  <c r="G22" i="7"/>
  <c r="G22" i="14"/>
  <c r="G22" i="27"/>
  <c r="G12"/>
  <c r="G22" i="25"/>
  <c r="G10"/>
  <c r="G5"/>
  <c r="G22" i="16"/>
  <c r="G9" l="1"/>
  <c r="G22" i="49"/>
  <c r="G22" i="35"/>
  <c r="G19" i="50"/>
  <c r="G22" i="20"/>
  <c r="G22" i="22"/>
  <c r="F22" i="31"/>
  <c r="F22" i="47"/>
  <c r="F22" i="9"/>
  <c r="F22" i="15"/>
  <c r="F22" i="3"/>
  <c r="F15"/>
  <c r="F14"/>
  <c r="F22" i="10"/>
  <c r="F22" i="19"/>
  <c r="F13"/>
  <c r="F22" i="26"/>
  <c r="F10"/>
  <c r="F22" i="30"/>
  <c r="F6"/>
  <c r="F22" i="33"/>
  <c r="F22" i="40"/>
  <c r="F22" i="45"/>
  <c r="F22" i="23"/>
  <c r="F10"/>
  <c r="F22" i="21"/>
  <c r="F22" i="12"/>
  <c r="F22" i="8"/>
  <c r="L19"/>
  <c r="L21" s="1"/>
  <c r="J19"/>
  <c r="J21" s="1"/>
  <c r="I19"/>
  <c r="I21" s="1"/>
  <c r="H19"/>
  <c r="H21" s="1"/>
  <c r="G19"/>
  <c r="G21" s="1"/>
  <c r="F19"/>
  <c r="F21" s="1"/>
  <c r="F22" i="51"/>
  <c r="E22"/>
  <c r="F22" i="11"/>
  <c r="F15"/>
  <c r="F10"/>
  <c r="F22" i="4"/>
  <c r="F22" i="29"/>
  <c r="F22" i="48"/>
  <c r="F22" i="50"/>
  <c r="F22" i="2"/>
  <c r="F20"/>
  <c r="F22" i="20"/>
  <c r="F22" i="6"/>
  <c r="F15"/>
  <c r="F22" i="37"/>
  <c r="F22" i="5"/>
  <c r="F22" i="27" l="1"/>
  <c r="F12"/>
  <c r="F22" i="16"/>
  <c r="F9"/>
  <c r="F22" i="7"/>
  <c r="F20"/>
  <c r="F22" i="14"/>
  <c r="F22" i="22"/>
  <c r="F22" i="25"/>
  <c r="F5"/>
  <c r="F10"/>
  <c r="F19" s="1"/>
  <c r="F21" s="1"/>
  <c r="F22" i="35"/>
  <c r="F22" i="49"/>
  <c r="E22" i="31"/>
  <c r="D22" i="47"/>
  <c r="B22"/>
  <c r="E15" i="3"/>
  <c r="E10" i="26"/>
  <c r="E12" i="40"/>
  <c r="E6" i="30"/>
  <c r="E10" i="11"/>
  <c r="E15"/>
  <c r="E10" i="23"/>
  <c r="E13" i="6"/>
  <c r="E15"/>
  <c r="E5" i="25"/>
  <c r="E10"/>
  <c r="E12" i="12"/>
  <c r="E19" i="8"/>
  <c r="E21" s="1"/>
  <c r="E9" i="16"/>
  <c r="E12" i="27"/>
  <c r="E12" i="5"/>
  <c r="D15" i="45"/>
  <c r="D22" i="31"/>
  <c r="D19" i="8"/>
  <c r="D21" s="1"/>
  <c r="D12" i="27"/>
  <c r="D15" i="50"/>
  <c r="D15" i="23"/>
  <c r="D10"/>
  <c r="D10" i="25"/>
  <c r="D19" s="1"/>
  <c r="D21" s="1"/>
  <c r="D12" i="22"/>
  <c r="D15" i="3"/>
  <c r="D10" i="11"/>
  <c r="D9" i="14"/>
  <c r="D12" i="12"/>
  <c r="D15" i="6"/>
  <c r="D9" i="5"/>
  <c r="D12"/>
  <c r="D7" i="30"/>
  <c r="D15" i="2"/>
  <c r="D12" i="29"/>
  <c r="C22" i="47"/>
  <c r="L21"/>
  <c r="E22"/>
  <c r="M19"/>
  <c r="M21" s="1"/>
  <c r="L19"/>
  <c r="K21"/>
  <c r="M19" i="2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2" i="22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3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7"/>
  <c r="M21" s="1"/>
  <c r="L19"/>
  <c r="L21" s="1"/>
  <c r="K19"/>
  <c r="K21" s="1"/>
  <c r="J19"/>
  <c r="J21" s="1"/>
  <c r="I19"/>
  <c r="I21" s="1"/>
  <c r="H19"/>
  <c r="H21" s="1"/>
  <c r="G19"/>
  <c r="G21" s="1"/>
  <c r="F19"/>
  <c r="E19"/>
  <c r="E21" s="1"/>
  <c r="D19"/>
  <c r="D21" s="1"/>
  <c r="C19"/>
  <c r="C21" s="1"/>
  <c r="M19" i="13"/>
  <c r="M21" s="1"/>
  <c r="L19"/>
  <c r="L21" s="1"/>
  <c r="K21"/>
  <c r="M19" i="3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7" i="25"/>
  <c r="C5"/>
  <c r="C10"/>
  <c r="M19"/>
  <c r="M21" s="1"/>
  <c r="L19"/>
  <c r="L21" s="1"/>
  <c r="L22" s="1"/>
  <c r="K19"/>
  <c r="K21" s="1"/>
  <c r="J19"/>
  <c r="J21" s="1"/>
  <c r="I19"/>
  <c r="I21" s="1"/>
  <c r="H19"/>
  <c r="H21" s="1"/>
  <c r="G19"/>
  <c r="G21" s="1"/>
  <c r="E19"/>
  <c r="E21" s="1"/>
  <c r="F21" i="7" l="1"/>
  <c r="C19" i="25"/>
  <c r="C21" s="1"/>
  <c r="C12" i="27"/>
  <c r="C19" s="1"/>
  <c r="C21" s="1"/>
  <c r="B12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33"/>
  <c r="M21" s="1"/>
  <c r="L19"/>
  <c r="L21" s="1"/>
  <c r="K19"/>
  <c r="K21" s="1"/>
  <c r="K22" s="1"/>
  <c r="J19"/>
  <c r="J21" s="1"/>
  <c r="I19"/>
  <c r="I21" s="1"/>
  <c r="H19"/>
  <c r="H21" s="1"/>
  <c r="H22" s="1"/>
  <c r="G19"/>
  <c r="G21" s="1"/>
  <c r="F19"/>
  <c r="F21" s="1"/>
  <c r="E19"/>
  <c r="E21" s="1"/>
  <c r="D19"/>
  <c r="D21" s="1"/>
  <c r="C19"/>
  <c r="C21" s="1"/>
  <c r="M19" i="38"/>
  <c r="M21" s="1"/>
  <c r="L19"/>
  <c r="L21" s="1"/>
  <c r="K21"/>
  <c r="M19" i="31"/>
  <c r="M21" s="1"/>
  <c r="L19"/>
  <c r="L21" s="1"/>
  <c r="K19"/>
  <c r="K21" s="1"/>
  <c r="C22"/>
  <c r="M19" i="5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C12" i="5"/>
  <c r="D22" i="51" l="1"/>
  <c r="C22"/>
  <c r="M19" i="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5" i="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50"/>
  <c r="M21" s="1"/>
  <c r="L19"/>
  <c r="L21" s="1"/>
  <c r="K19"/>
  <c r="K21" s="1"/>
  <c r="J19"/>
  <c r="J21" s="1"/>
  <c r="I19"/>
  <c r="I21" s="1"/>
  <c r="H19"/>
  <c r="H21" s="1"/>
  <c r="G21"/>
  <c r="G22" s="1"/>
  <c r="F19"/>
  <c r="F21" s="1"/>
  <c r="E19"/>
  <c r="E21" s="1"/>
  <c r="D19"/>
  <c r="D21" s="1"/>
  <c r="B19"/>
  <c r="B21" s="1"/>
  <c r="B22" s="1"/>
  <c r="C19"/>
  <c r="C21" s="1"/>
  <c r="C9" i="16"/>
  <c r="C19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20" i="4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M19" i="1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2" i="49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B19"/>
  <c r="B21" s="1"/>
  <c r="B22" s="1"/>
  <c r="C12" i="29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5" i="3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2" i="12"/>
  <c r="C19" s="1"/>
  <c r="C21" s="1"/>
  <c r="M19"/>
  <c r="M21" s="1"/>
  <c r="L19"/>
  <c r="L21" s="1"/>
  <c r="K19"/>
  <c r="K21" s="1"/>
  <c r="J19"/>
  <c r="J21" s="1"/>
  <c r="I19"/>
  <c r="I21" s="1"/>
  <c r="I22" s="1"/>
  <c r="H19"/>
  <c r="H21" s="1"/>
  <c r="G19"/>
  <c r="G21" s="1"/>
  <c r="F19"/>
  <c r="F21" s="1"/>
  <c r="E19"/>
  <c r="E21" s="1"/>
  <c r="D19"/>
  <c r="D21" s="1"/>
  <c r="C19" i="9"/>
  <c r="C21" s="1"/>
  <c r="M19"/>
  <c r="M21" s="1"/>
  <c r="L19"/>
  <c r="L21" s="1"/>
  <c r="K19"/>
  <c r="K21" s="1"/>
  <c r="J19"/>
  <c r="J21" s="1"/>
  <c r="I19"/>
  <c r="I21" s="1"/>
  <c r="E19"/>
  <c r="E21" s="1"/>
  <c r="C12" i="45"/>
  <c r="C15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L19" i="11"/>
  <c r="L21" s="1"/>
  <c r="K19"/>
  <c r="K21" s="1"/>
  <c r="K22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20" i="23"/>
  <c r="C10"/>
  <c r="C19" s="1"/>
  <c r="M19"/>
  <c r="M21" s="1"/>
  <c r="L19"/>
  <c r="L21" s="1"/>
  <c r="K19"/>
  <c r="K21" s="1"/>
  <c r="J19"/>
  <c r="J21" s="1"/>
  <c r="I19"/>
  <c r="I21" s="1"/>
  <c r="H19"/>
  <c r="H21" s="1"/>
  <c r="H22" s="1"/>
  <c r="G19"/>
  <c r="G21" s="1"/>
  <c r="F19"/>
  <c r="F21" s="1"/>
  <c r="E19"/>
  <c r="E21" s="1"/>
  <c r="D19"/>
  <c r="D21" s="1"/>
  <c r="J22" i="12" l="1"/>
  <c r="D22" i="9"/>
  <c r="E22"/>
  <c r="C22"/>
  <c r="E22" i="49"/>
  <c r="D22"/>
  <c r="C22"/>
  <c r="C22" i="50"/>
  <c r="E22"/>
  <c r="D22"/>
  <c r="C21" i="16"/>
  <c r="C21" i="4"/>
  <c r="C19" i="45"/>
  <c r="C21" s="1"/>
  <c r="C21" i="23"/>
  <c r="M19" i="1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9" i="30" l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 i="2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0" i="2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9" i="24"/>
  <c r="C21" s="1"/>
  <c r="M19"/>
  <c r="M21" s="1"/>
  <c r="L19"/>
  <c r="L21" s="1"/>
  <c r="K19"/>
  <c r="K21" s="1"/>
  <c r="J19"/>
  <c r="J21" s="1"/>
  <c r="K22" s="1"/>
  <c r="I19"/>
  <c r="I21" s="1"/>
  <c r="H19"/>
  <c r="H21" s="1"/>
  <c r="G19"/>
  <c r="G21" s="1"/>
  <c r="F19"/>
  <c r="F21" s="1"/>
  <c r="E19"/>
  <c r="E21" s="1"/>
  <c r="D19"/>
  <c r="D21" s="1"/>
  <c r="M19" i="48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4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I22" l="1"/>
  <c r="H22"/>
  <c r="C21"/>
  <c r="C19"/>
  <c r="C19" i="48" l="1"/>
  <c r="C21" s="1"/>
  <c r="B19"/>
  <c r="B21"/>
  <c r="B22" s="1"/>
  <c r="E22" l="1"/>
  <c r="C22"/>
  <c r="D22"/>
  <c r="B21" i="44"/>
  <c r="B22" s="1"/>
  <c r="B19"/>
  <c r="B19" i="11"/>
  <c r="B21" s="1"/>
  <c r="B19" i="10"/>
  <c r="B21" s="1"/>
  <c r="E22" i="11" l="1"/>
  <c r="C22"/>
  <c r="D22"/>
  <c r="E22" i="10"/>
  <c r="D22"/>
  <c r="C22"/>
  <c r="B22"/>
  <c r="B22" i="11"/>
  <c r="B19" i="30"/>
  <c r="B21" s="1"/>
  <c r="B19" i="33"/>
  <c r="B21" s="1"/>
  <c r="B19" i="26"/>
  <c r="B21" s="1"/>
  <c r="B19" i="28"/>
  <c r="B21" s="1"/>
  <c r="B22" s="1"/>
  <c r="B19" i="3"/>
  <c r="B19" i="45"/>
  <c r="B21" s="1"/>
  <c r="B19" i="21"/>
  <c r="B21" s="1"/>
  <c r="B22" i="41"/>
  <c r="B19" i="40"/>
  <c r="B21" s="1"/>
  <c r="C22" i="45" l="1"/>
  <c r="E22"/>
  <c r="D22"/>
  <c r="E22" i="33"/>
  <c r="C22"/>
  <c r="D22"/>
  <c r="E22" i="40"/>
  <c r="C22"/>
  <c r="D22"/>
  <c r="B22"/>
  <c r="E22" i="21"/>
  <c r="C22"/>
  <c r="D22"/>
  <c r="B22" i="26"/>
  <c r="E22"/>
  <c r="C22"/>
  <c r="D22"/>
  <c r="E22" i="30"/>
  <c r="D22"/>
  <c r="C22"/>
  <c r="B22" i="31"/>
  <c r="B22" i="33"/>
  <c r="B22" i="21"/>
  <c r="B22" i="30"/>
  <c r="B19" i="25"/>
  <c r="B21" s="1"/>
  <c r="B19" i="6"/>
  <c r="B21" s="1"/>
  <c r="B19" i="4"/>
  <c r="B21" s="1"/>
  <c r="B19" i="8"/>
  <c r="B21" s="1"/>
  <c r="B19" i="37"/>
  <c r="B21" s="1"/>
  <c r="B19" i="46"/>
  <c r="B21" s="1"/>
  <c r="B19" i="24"/>
  <c r="B21" s="1"/>
  <c r="B19" i="35"/>
  <c r="B21" s="1"/>
  <c r="B19" i="27"/>
  <c r="B21" s="1"/>
  <c r="B19" i="22"/>
  <c r="B21" s="1"/>
  <c r="B19" i="19"/>
  <c r="B21" s="1"/>
  <c r="B19" i="23"/>
  <c r="B21" s="1"/>
  <c r="B19" i="15"/>
  <c r="B21" s="1"/>
  <c r="B21" i="3"/>
  <c r="B19" i="16"/>
  <c r="B21" s="1"/>
  <c r="B19" i="17"/>
  <c r="B21" s="1"/>
  <c r="B19" i="14"/>
  <c r="B21" s="1"/>
  <c r="B19" i="12"/>
  <c r="B21" s="1"/>
  <c r="B19" i="7"/>
  <c r="B21" s="1"/>
  <c r="B19" i="5"/>
  <c r="B21" s="1"/>
  <c r="B19" i="2"/>
  <c r="B21" s="1"/>
  <c r="B19" i="29"/>
  <c r="B21" s="1"/>
  <c r="F22" i="24" l="1"/>
  <c r="I22"/>
  <c r="J22"/>
  <c r="G22"/>
  <c r="H22"/>
  <c r="G22" i="17"/>
  <c r="F22"/>
  <c r="C22" i="29"/>
  <c r="E22"/>
  <c r="D22"/>
  <c r="B22"/>
  <c r="C22" i="12"/>
  <c r="E22"/>
  <c r="D22"/>
  <c r="E22" i="17"/>
  <c r="C22"/>
  <c r="D22"/>
  <c r="E22" i="3"/>
  <c r="C22"/>
  <c r="D22"/>
  <c r="E22" i="23"/>
  <c r="C22"/>
  <c r="D22"/>
  <c r="E22" i="22"/>
  <c r="C22"/>
  <c r="D22"/>
  <c r="B22" i="35"/>
  <c r="E22"/>
  <c r="C22"/>
  <c r="D22"/>
  <c r="B22" i="8"/>
  <c r="E22"/>
  <c r="C22"/>
  <c r="D22"/>
  <c r="E22" i="6"/>
  <c r="D22"/>
  <c r="C22"/>
  <c r="D22" i="5"/>
  <c r="C22"/>
  <c r="E22"/>
  <c r="E22" i="2"/>
  <c r="D22"/>
  <c r="C22"/>
  <c r="E22" i="7"/>
  <c r="C22"/>
  <c r="D22"/>
  <c r="E22" i="14"/>
  <c r="C22"/>
  <c r="D22"/>
  <c r="E22" i="16"/>
  <c r="C22"/>
  <c r="D22"/>
  <c r="E22" i="15"/>
  <c r="C22"/>
  <c r="D22"/>
  <c r="E22" i="19"/>
  <c r="C22"/>
  <c r="D22"/>
  <c r="E22" i="27"/>
  <c r="C22"/>
  <c r="B22"/>
  <c r="D22"/>
  <c r="E22" i="24"/>
  <c r="C22"/>
  <c r="D22"/>
  <c r="E22" i="37"/>
  <c r="C22"/>
  <c r="D22"/>
  <c r="D22" i="4"/>
  <c r="E22"/>
  <c r="C22"/>
  <c r="E22" i="25"/>
  <c r="C22"/>
  <c r="B22"/>
  <c r="D22"/>
  <c r="B22" i="3"/>
  <c r="B22" i="23"/>
  <c r="B22" i="24"/>
  <c r="B22" i="15"/>
  <c r="B22" i="19"/>
  <c r="B22" i="12"/>
  <c r="B19" i="20"/>
  <c r="B21" s="1"/>
  <c r="B22" i="9"/>
  <c r="B22" i="2"/>
  <c r="B22" i="17"/>
  <c r="B22" i="4"/>
  <c r="B22" i="14"/>
  <c r="B22" i="16"/>
  <c r="B22" i="7"/>
  <c r="B22" i="6"/>
  <c r="B22" i="5"/>
  <c r="B22" i="37"/>
  <c r="B22" i="22"/>
  <c r="B22" i="46"/>
  <c r="D22" i="20" l="1"/>
  <c r="E22"/>
  <c r="C22"/>
  <c r="B22"/>
  <c r="B22" i="45" l="1"/>
</calcChain>
</file>

<file path=xl/sharedStrings.xml><?xml version="1.0" encoding="utf-8"?>
<sst xmlns="http://schemas.openxmlformats.org/spreadsheetml/2006/main" count="1496" uniqueCount="90">
  <si>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</si>
  <si>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</si>
  <si>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</si>
  <si>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</si>
  <si>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</si>
  <si>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</si>
  <si>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</si>
  <si>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</si>
  <si>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</si>
  <si>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</si>
  <si>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</si>
  <si>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</si>
  <si>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</si>
  <si>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</si>
  <si>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</si>
  <si>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</si>
  <si>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</si>
  <si>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</si>
  <si>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</si>
  <si>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</si>
  <si>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</si>
  <si>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</si>
  <si>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</si>
  <si>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</si>
  <si>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</si>
  <si>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</si>
  <si>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</si>
  <si>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</si>
  <si>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</si>
  <si>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</si>
  <si>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</si>
  <si>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</si>
  <si>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</si>
  <si>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</si>
  <si>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</si>
  <si>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</si>
  <si>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</si>
  <si>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</si>
  <si>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</si>
  <si>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</si>
  <si>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>Locomoção - Locação de Automóvel3</t>
  </si>
  <si>
    <t xml:space="preserve">                                                     </t>
  </si>
  <si>
    <t xml:space="preserve">      </t>
  </si>
  <si>
    <t>VEREADOR Aderaldo de Oliveira  - DEMONSTRATIVO DA VERBA INDENIZATORIA 2019</t>
  </si>
  <si>
    <t>VEREADOR Aerto Luna - DEMONSTRATIVO DA VERBA INDENIZATORIA 2019</t>
  </si>
  <si>
    <t>VEREADOR Aimée Silva - DEMONSTRATIVO DA VERBA INDENIZATORIA 2019</t>
  </si>
  <si>
    <t>VEREADOR Alcides Teixeira Neto - DEMONSTRATIVO DA VERBA INDENIZATORIA 2019</t>
  </si>
  <si>
    <t>VEREADOR Aline Mariano - DEMONSTRATIVO DA VERBA INDENIZATORIA 2019</t>
  </si>
  <si>
    <t>VEREADOR Almir Fernando - DEMONSTRATIVO DA VERBA INDENIZATORIA 2019</t>
  </si>
  <si>
    <t xml:space="preserve"> VEREADOR Amaro Cipriano de Lima- DEMONSTRATIVO DA VERBA INDENIZATORIA 2019</t>
  </si>
  <si>
    <t>VEREADOR Ana Lúcia do Rêgo Ferreira- DEMONSTRATIVO DA VERBA INDENIZATORIA 2019</t>
  </si>
  <si>
    <t>VEREADOR André Régis - DEMONSTRATIVO DA VERBA INDENIZATORIA 2019</t>
  </si>
  <si>
    <t>VEREADOR Antônio Luiz Neto - DEMONSTRATIVO DA VERBA INDENIZATORIA 2019</t>
  </si>
  <si>
    <t>VEREADOR Augusto Carreras - DEMONSTRATIVO DA VERBA INDENIZATORIA 2019</t>
  </si>
  <si>
    <t>VEREADOR  Benjamin da Saúde - DEMONSTRATIVO DA VERBA INDENIZATORIA 2019</t>
  </si>
  <si>
    <t>VEREADOR Carlos Gueiros - DEMONSTRATIVO DA VERBA INDENIZATORIA 2019</t>
  </si>
  <si>
    <t>VEREADOR Chico Kiko - DEMONSTRATIVO DA VERBA INDENIZATORIA 2019</t>
  </si>
  <si>
    <t>VEREADOR Davi Muniz- DEMONSTRATIVO DA VERBA INDENIZATORIA 2019</t>
  </si>
  <si>
    <t>VEREADOR Daize Michele de Aguiar- DEMONSTRATIVO DA VERBA INDENIZATORIA 2019</t>
  </si>
  <si>
    <t>VEREADOR Eduardo Pereira - DEMONSTRATIVO DA VERBA INDENIZATORIA 2019</t>
  </si>
  <si>
    <t>VEREADOR Eduardo Marques - DEMONSTRATIVO DA VERBA INDENIZATORIA 2019</t>
  </si>
  <si>
    <t>VEREADOR Felipe Francismar- DEMONSTRATIVO DA VERBA INDENIZATORIA 2019</t>
  </si>
  <si>
    <t>VEREADOR Fred Ferreira - DEMONSTRATIVO DA VERBA INDENIZATORIA 2019</t>
  </si>
  <si>
    <t>VEREADOR Hélio Guabiraba - DEMONSTRATIVO DA VERBA INDENIZATORIA 2019</t>
  </si>
  <si>
    <t>VEREADOR Ivan Moraes - DEMONSTRATIVO DA VERBA INDENIZATORIA 2019</t>
  </si>
  <si>
    <t>VEREADOR Jayme Asfora - DEMONSTRATIVO DA VERBA INDENIZATORIA 2019</t>
  </si>
  <si>
    <t>VEREADOR Jairo Britto - DEMONSTRATIVO DA VERBA INDENIZATORIA 2019</t>
  </si>
  <si>
    <t>VEREADOR Júnior Bocão - DEMONSTRATIVO DA VERBA INDENIZATORIA 2019</t>
  </si>
  <si>
    <t>VEREADOR Marco Aurélio - DEMONSTRATIVO DA VERBA INDENIZATORIA 2019</t>
  </si>
  <si>
    <t>VEREADOR Marília Arraes- DEMONSTRATIVO DA VERBA INDENIZATORIA 2019</t>
  </si>
  <si>
    <t>VEREADOR Marcos di Bria - DEMONSTRATIVO DA VERBA INDENIZATORIA 2019</t>
  </si>
  <si>
    <t>VEREADOR Natália de Menudo - DEMONSTRATIVO DA VERBA INDENIZATORIA 2019</t>
  </si>
  <si>
    <t>VEREADOR Rafael Acioli - DEMONSTRATIVO DA VERBA INDENIZATORIA 2019</t>
  </si>
  <si>
    <t>VEREADOR Rinaldo Júnior - DEMONSTRATIVO DA VERBA INDENIZATORIA 2019</t>
  </si>
  <si>
    <t>VEREADOR Ricardo Cruz- DEMONSTRATIVO DA VERBA INDENIZATORIA 2019</t>
  </si>
  <si>
    <t>VEREADOR Rodrigo Coutinho - DEMONSTRATIVO DA VERBA INDENIZATORIA 2019</t>
  </si>
  <si>
    <t>VEREADOR Renato Antunes - DEMONSTRATIVO DA VERBA INDENIZATORIA 2019</t>
  </si>
  <si>
    <t>VEREADOR Rogério di Lucca - DEMONSTRATIVO DA VERBA INDENIZATORIA 2019</t>
  </si>
  <si>
    <t>VEREADOR Romerinho Jatobá - DEMONSTRATIVO DA VERBA INDENIZATORIA 2019</t>
  </si>
  <si>
    <t>VEREADOR Romero Albuquerque - DEMONSTRATIVO DA VERBA INDENIZATORIA 2019</t>
  </si>
  <si>
    <t>VEREADOR Wanderson Sobral - DEMONSTRATIVO DA VERBA INDENIZATORIA 2019</t>
  </si>
  <si>
    <t xml:space="preserve">VEREADOR Gilberto Alves - DEMONSTRATIVO DA VERBA INDENIZATORIA 2019      </t>
  </si>
  <si>
    <t>NPC= NÃO PRESTOU CONTAS</t>
  </si>
  <si>
    <t>VEREADOR Samuel Salazar - DEMONSTRATIVO DA VERBA INDENIZATORIA 2019</t>
  </si>
  <si>
    <t>Início da legislatura em fevereiro/2019.</t>
  </si>
  <si>
    <t>Janeiro foi o último mês de legislatura.</t>
  </si>
  <si>
    <t>VEREADOR Maria Goretti Cordeiro de Queiroz - DEMONSTRATIVO DA VERBA INDENIZATORIA 2019</t>
  </si>
  <si>
    <t>VEREADOR João da Costa Bezerra Filho - DEMONSTRATIVO DA VERBA INDENIZATORIA 2019</t>
  </si>
  <si>
    <t>VEREADOR José Wilton de Brito Cavalcanti - DEMONSTRATIVO DA VERBA INDENIZATORIA 2019</t>
  </si>
  <si>
    <t>Novembro foi o último mês de legislatura.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</si>
</sst>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14" fillId="0" borderId="0" xfId="0" applyFont="1"/>
    <xf numFmtId="0" fontId="3" fillId="3" borderId="0" xfId="0" applyFont="1" applyFill="1"/>
    <xf numFmtId="43" fontId="3" fillId="0" borderId="18" xfId="1" applyFont="1" applyFill="1" applyBorder="1" applyAlignment="1">
      <alignment horizontal="center"/>
    </xf>
    <xf numFmtId="43" fontId="3" fillId="0" borderId="17" xfId="1" applyFont="1" applyFill="1" applyBorder="1" applyAlignment="1">
      <alignment horizontal="center"/>
    </xf>
    <xf numFmtId="43" fontId="3" fillId="0" borderId="17" xfId="1" applyFont="1" applyFill="1" applyBorder="1"/>
    <xf numFmtId="43" fontId="3" fillId="0" borderId="21" xfId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10" fillId="3" borderId="13" xfId="1" applyFont="1" applyFill="1" applyBorder="1" applyAlignment="1">
      <alignment horizontal="center"/>
    </xf>
    <xf numFmtId="43" fontId="11" fillId="0" borderId="23" xfId="1" applyFont="1" applyFill="1" applyBorder="1" applyAlignment="1">
      <alignment horizontal="center"/>
    </xf>
    <xf numFmtId="0" fontId="3" fillId="0" borderId="26" xfId="0" applyNumberFormat="1" applyFont="1" applyFill="1" applyBorder="1" applyAlignment="1">
      <alignment horizontal="justify" vertical="top" wrapText="1"/>
    </xf>
    <xf numFmtId="0" fontId="3" fillId="0" borderId="26" xfId="0" applyNumberFormat="1" applyFont="1" applyFill="1" applyBorder="1" applyAlignment="1">
      <alignment horizontal="left" vertical="top" wrapText="1" indent="1"/>
    </xf>
    <xf numFmtId="0" fontId="3" fillId="0" borderId="25" xfId="0" applyNumberFormat="1" applyFont="1" applyFill="1" applyBorder="1" applyAlignment="1">
      <alignment horizontal="justify" vertical="top" wrapText="1"/>
    </xf>
    <xf numFmtId="43" fontId="3" fillId="0" borderId="25" xfId="1" applyFont="1" applyFill="1" applyBorder="1" applyAlignment="1">
      <alignment horizontal="justify" vertical="top" wrapText="1"/>
    </xf>
    <xf numFmtId="0" fontId="3" fillId="0" borderId="27" xfId="0" applyNumberFormat="1" applyFont="1" applyFill="1" applyBorder="1" applyAlignment="1">
      <alignment horizontal="justify" vertical="top" wrapText="1"/>
    </xf>
    <xf numFmtId="0" fontId="10" fillId="0" borderId="28" xfId="0" applyFont="1" applyFill="1" applyBorder="1"/>
    <xf numFmtId="43" fontId="11" fillId="2" borderId="29" xfId="1" applyFont="1" applyFill="1" applyBorder="1" applyAlignment="1">
      <alignment horizontal="center"/>
    </xf>
    <xf numFmtId="43" fontId="11" fillId="2" borderId="30" xfId="1" applyFont="1" applyFill="1" applyBorder="1" applyAlignment="1">
      <alignment horizontal="center"/>
    </xf>
    <xf numFmtId="43" fontId="11" fillId="0" borderId="30" xfId="1" applyFont="1" applyFill="1" applyBorder="1"/>
    <xf numFmtId="2" fontId="11" fillId="0" borderId="30" xfId="1" applyNumberFormat="1" applyFont="1" applyFill="1" applyBorder="1"/>
    <xf numFmtId="43" fontId="11" fillId="0" borderId="31" xfId="1" applyFont="1" applyFill="1" applyBorder="1"/>
    <xf numFmtId="43" fontId="11" fillId="2" borderId="32" xfId="1" applyFont="1" applyFill="1" applyBorder="1" applyAlignment="1">
      <alignment horizontal="center"/>
    </xf>
    <xf numFmtId="43" fontId="11" fillId="2" borderId="33" xfId="1" applyFont="1" applyFill="1" applyBorder="1" applyAlignment="1">
      <alignment horizontal="center"/>
    </xf>
    <xf numFmtId="43" fontId="11" fillId="2" borderId="3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justify" vertical="center" wrapText="1"/>
    </xf>
    <xf numFmtId="43" fontId="3" fillId="4" borderId="4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4" borderId="3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43" fontId="3" fillId="4" borderId="9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43" fontId="10" fillId="4" borderId="5" xfId="1" applyFont="1" applyFill="1" applyBorder="1" applyAlignment="1">
      <alignment horizontal="center"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3" fontId="11" fillId="4" borderId="30" xfId="1" applyFont="1" applyFill="1" applyBorder="1" applyAlignment="1">
      <alignment horizontal="center" vertical="center"/>
    </xf>
    <xf numFmtId="43" fontId="11" fillId="0" borderId="30" xfId="1" applyFont="1" applyFill="1" applyBorder="1" applyAlignment="1">
      <alignment vertical="center"/>
    </xf>
    <xf numFmtId="2" fontId="11" fillId="0" borderId="30" xfId="1" applyNumberFormat="1" applyFont="1" applyFill="1" applyBorder="1" applyAlignment="1">
      <alignment vertical="center"/>
    </xf>
    <xf numFmtId="43" fontId="11" fillId="0" borderId="31" xfId="1" applyFont="1" applyFill="1" applyBorder="1" applyAlignment="1">
      <alignment vertical="center"/>
    </xf>
    <xf numFmtId="43" fontId="11" fillId="4" borderId="33" xfId="1" applyFont="1" applyFill="1" applyBorder="1" applyAlignment="1">
      <alignment horizontal="center" vertical="center"/>
    </xf>
    <xf numFmtId="43" fontId="11" fillId="2" borderId="33" xfId="1" applyFont="1" applyFill="1" applyBorder="1" applyAlignment="1">
      <alignment horizontal="center" vertical="center"/>
    </xf>
    <xf numFmtId="43" fontId="11" fillId="2" borderId="34" xfId="1" applyFont="1" applyFill="1" applyBorder="1" applyAlignment="1">
      <alignment horizontal="center" vertical="center"/>
    </xf>
    <xf numFmtId="43" fontId="3" fillId="4" borderId="21" xfId="1" applyFont="1" applyFill="1" applyBorder="1" applyAlignment="1">
      <alignment horizontal="center" vertical="center"/>
    </xf>
    <xf numFmtId="43" fontId="3" fillId="4" borderId="20" xfId="1" applyFont="1" applyFill="1" applyBorder="1" applyAlignment="1">
      <alignment horizontal="center" vertical="center"/>
    </xf>
    <xf numFmtId="43" fontId="3" fillId="4" borderId="22" xfId="1" applyFont="1" applyFill="1" applyBorder="1" applyAlignment="1">
      <alignment horizontal="center" vertical="center"/>
    </xf>
    <xf numFmtId="43" fontId="10" fillId="4" borderId="13" xfId="1" applyFont="1" applyFill="1" applyBorder="1" applyAlignment="1">
      <alignment horizontal="center" vertical="center"/>
    </xf>
    <xf numFmtId="43" fontId="11" fillId="4" borderId="23" xfId="1" applyFont="1" applyFill="1" applyBorder="1" applyAlignment="1">
      <alignment horizontal="center" vertical="center"/>
    </xf>
    <xf numFmtId="43" fontId="11" fillId="4" borderId="35" xfId="1" applyFont="1" applyFill="1" applyBorder="1" applyAlignment="1">
      <alignment horizontal="center" vertical="center"/>
    </xf>
    <xf numFmtId="43" fontId="11" fillId="4" borderId="29" xfId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justify" vertical="center" wrapText="1"/>
    </xf>
    <xf numFmtId="0" fontId="3" fillId="0" borderId="26" xfId="0" applyNumberFormat="1" applyFont="1" applyFill="1" applyBorder="1" applyAlignment="1">
      <alignment horizontal="left" vertical="center" wrapText="1"/>
    </xf>
    <xf numFmtId="0" fontId="3" fillId="0" borderId="25" xfId="0" applyNumberFormat="1" applyFont="1" applyFill="1" applyBorder="1" applyAlignment="1">
      <alignment horizontal="justify" vertical="center" wrapText="1"/>
    </xf>
    <xf numFmtId="43" fontId="3" fillId="0" borderId="25" xfId="1" applyFont="1" applyFill="1" applyBorder="1" applyAlignment="1">
      <alignment horizontal="justify" vertical="center" wrapText="1"/>
    </xf>
    <xf numFmtId="0" fontId="3" fillId="0" borderId="27" xfId="0" applyNumberFormat="1" applyFont="1" applyFill="1" applyBorder="1" applyAlignment="1">
      <alignment horizontal="justify" vertical="center" wrapText="1"/>
    </xf>
    <xf numFmtId="0" fontId="10" fillId="0" borderId="28" xfId="0" applyFont="1" applyFill="1" applyBorder="1" applyAlignment="1">
      <alignment vertical="center"/>
    </xf>
    <xf numFmtId="43" fontId="3" fillId="0" borderId="9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18" xfId="1" applyFont="1" applyFill="1" applyBorder="1" applyAlignment="1">
      <alignment horizontal="center" vertical="center"/>
    </xf>
    <xf numFmtId="43" fontId="3" fillId="0" borderId="17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8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9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3" fontId="3" fillId="0" borderId="7" xfId="1" applyFont="1" applyFill="1" applyBorder="1" applyAlignment="1">
      <alignment horizontal="right" vertical="center"/>
    </xf>
    <xf numFmtId="43" fontId="11" fillId="0" borderId="36" xfId="1" applyFont="1" applyFill="1" applyBorder="1" applyAlignment="1">
      <alignment horizontal="right" vertical="center"/>
    </xf>
    <xf numFmtId="43" fontId="11" fillId="2" borderId="10" xfId="1" applyFont="1" applyFill="1" applyBorder="1" applyAlignment="1">
      <alignment horizontal="right" vertical="center"/>
    </xf>
    <xf numFmtId="43" fontId="11" fillId="0" borderId="30" xfId="1" applyFont="1" applyFill="1" applyBorder="1" applyAlignment="1">
      <alignment horizontal="right" vertical="center"/>
    </xf>
    <xf numFmtId="2" fontId="11" fillId="0" borderId="30" xfId="1" applyNumberFormat="1" applyFont="1" applyFill="1" applyBorder="1" applyAlignment="1">
      <alignment horizontal="right" vertical="center"/>
    </xf>
    <xf numFmtId="43" fontId="11" fillId="0" borderId="31" xfId="1" applyFont="1" applyFill="1" applyBorder="1" applyAlignment="1">
      <alignment horizontal="right" vertical="center"/>
    </xf>
    <xf numFmtId="43" fontId="11" fillId="2" borderId="32" xfId="1" applyFont="1" applyFill="1" applyBorder="1" applyAlignment="1">
      <alignment horizontal="right" vertical="center"/>
    </xf>
    <xf numFmtId="43" fontId="11" fillId="2" borderId="33" xfId="1" applyFont="1" applyFill="1" applyBorder="1" applyAlignment="1">
      <alignment horizontal="right" vertical="center"/>
    </xf>
    <xf numFmtId="43" fontId="11" fillId="2" borderId="34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3" fontId="11" fillId="0" borderId="36" xfId="1" applyFont="1" applyFill="1" applyBorder="1" applyAlignment="1">
      <alignment horizontal="center" vertical="center"/>
    </xf>
    <xf numFmtId="43" fontId="11" fillId="2" borderId="32" xfId="1" applyFont="1" applyFill="1" applyBorder="1" applyAlignment="1">
      <alignment horizontal="center" vertical="center"/>
    </xf>
    <xf numFmtId="43" fontId="11" fillId="2" borderId="10" xfId="1" applyFont="1" applyFill="1" applyBorder="1" applyAlignment="1">
      <alignment horizontal="center" vertical="center"/>
    </xf>
    <xf numFmtId="43" fontId="3" fillId="0" borderId="21" xfId="1" applyFont="1" applyFill="1" applyBorder="1" applyAlignment="1">
      <alignment horizontal="center" vertical="center"/>
    </xf>
    <xf numFmtId="43" fontId="3" fillId="0" borderId="23" xfId="1" applyFont="1" applyFill="1" applyBorder="1" applyAlignment="1">
      <alignment horizontal="center" vertical="center"/>
    </xf>
    <xf numFmtId="43" fontId="11" fillId="3" borderId="13" xfId="1" applyFont="1" applyFill="1" applyBorder="1" applyAlignment="1">
      <alignment horizontal="center" vertical="center"/>
    </xf>
    <xf numFmtId="43" fontId="11" fillId="0" borderId="23" xfId="1" applyFont="1" applyFill="1" applyBorder="1" applyAlignment="1">
      <alignment horizontal="center" vertical="center"/>
    </xf>
    <xf numFmtId="43" fontId="10" fillId="3" borderId="13" xfId="1" applyFont="1" applyFill="1" applyBorder="1" applyAlignment="1">
      <alignment horizontal="center" vertical="center"/>
    </xf>
    <xf numFmtId="43" fontId="11" fillId="2" borderId="35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43" fontId="3" fillId="0" borderId="20" xfId="1" applyFont="1" applyFill="1" applyBorder="1" applyAlignment="1">
      <alignment horizontal="center" vertical="center"/>
    </xf>
    <xf numFmtId="43" fontId="3" fillId="0" borderId="22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3" fillId="0" borderId="21" xfId="1" applyFont="1" applyFill="1" applyBorder="1" applyAlignment="1">
      <alignment horizontal="left" vertical="center"/>
    </xf>
    <xf numFmtId="43" fontId="3" fillId="0" borderId="4" xfId="1" applyFont="1" applyFill="1" applyBorder="1" applyAlignment="1">
      <alignment horizontal="left" vertical="center"/>
    </xf>
    <xf numFmtId="43" fontId="3" fillId="0" borderId="18" xfId="1" applyFont="1" applyFill="1" applyBorder="1" applyAlignment="1">
      <alignment horizontal="left" vertical="center"/>
    </xf>
    <xf numFmtId="43" fontId="3" fillId="0" borderId="20" xfId="1" applyFont="1" applyFill="1" applyBorder="1" applyAlignment="1">
      <alignment horizontal="left" vertical="center"/>
    </xf>
    <xf numFmtId="43" fontId="3" fillId="0" borderId="3" xfId="1" applyFont="1" applyFill="1" applyBorder="1" applyAlignment="1">
      <alignment horizontal="left" vertical="center"/>
    </xf>
    <xf numFmtId="43" fontId="3" fillId="0" borderId="17" xfId="1" applyFont="1" applyFill="1" applyBorder="1" applyAlignment="1">
      <alignment horizontal="left" vertical="center"/>
    </xf>
    <xf numFmtId="43" fontId="3" fillId="0" borderId="22" xfId="1" applyFont="1" applyFill="1" applyBorder="1" applyAlignment="1">
      <alignment horizontal="left" vertical="center"/>
    </xf>
    <xf numFmtId="43" fontId="3" fillId="0" borderId="9" xfId="1" applyFont="1" applyFill="1" applyBorder="1" applyAlignment="1">
      <alignment horizontal="left" vertical="center"/>
    </xf>
    <xf numFmtId="43" fontId="10" fillId="3" borderId="13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left" vertical="center"/>
    </xf>
    <xf numFmtId="43" fontId="11" fillId="0" borderId="23" xfId="1" applyFont="1" applyFill="1" applyBorder="1" applyAlignment="1">
      <alignment horizontal="left" vertical="center"/>
    </xf>
    <xf numFmtId="43" fontId="11" fillId="2" borderId="32" xfId="1" applyFont="1" applyFill="1" applyBorder="1" applyAlignment="1">
      <alignment horizontal="left" vertical="center"/>
    </xf>
    <xf numFmtId="43" fontId="11" fillId="2" borderId="34" xfId="1" applyFont="1" applyFill="1" applyBorder="1" applyAlignment="1">
      <alignment horizontal="left" vertical="center"/>
    </xf>
    <xf numFmtId="43" fontId="11" fillId="2" borderId="29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left" vertical="center"/>
    </xf>
    <xf numFmtId="2" fontId="11" fillId="0" borderId="30" xfId="1" applyNumberFormat="1" applyFont="1" applyFill="1" applyBorder="1" applyAlignment="1">
      <alignment horizontal="left" vertical="center"/>
    </xf>
    <xf numFmtId="43" fontId="11" fillId="0" borderId="31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center" vertical="center"/>
    </xf>
    <xf numFmtId="2" fontId="11" fillId="0" borderId="30" xfId="1" applyNumberFormat="1" applyFont="1" applyFill="1" applyBorder="1" applyAlignment="1">
      <alignment horizontal="center" vertical="center"/>
    </xf>
    <xf numFmtId="43" fontId="11" fillId="0" borderId="31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5" fillId="0" borderId="37" xfId="1" applyFont="1" applyBorder="1" applyAlignment="1">
      <alignment horizontal="center" vertical="center"/>
    </xf>
    <xf numFmtId="43" fontId="3" fillId="4" borderId="3" xfId="1" applyFont="1" applyFill="1" applyBorder="1" applyAlignment="1">
      <alignment vertical="center"/>
    </xf>
    <xf numFmtId="4" fontId="3" fillId="4" borderId="3" xfId="1" applyNumberFormat="1" applyFont="1" applyFill="1" applyBorder="1" applyAlignment="1">
      <alignment vertical="center"/>
    </xf>
    <xf numFmtId="43" fontId="3" fillId="4" borderId="18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vertical="center"/>
    </xf>
    <xf numFmtId="43" fontId="11" fillId="4" borderId="30" xfId="1" applyFont="1" applyFill="1" applyBorder="1" applyAlignment="1">
      <alignment vertical="center"/>
    </xf>
    <xf numFmtId="2" fontId="11" fillId="4" borderId="30" xfId="1" applyNumberFormat="1" applyFont="1" applyFill="1" applyBorder="1" applyAlignment="1">
      <alignment vertical="center"/>
    </xf>
    <xf numFmtId="43" fontId="11" fillId="4" borderId="31" xfId="1" applyFont="1" applyFill="1" applyBorder="1" applyAlignment="1">
      <alignment vertical="center"/>
    </xf>
    <xf numFmtId="43" fontId="11" fillId="4" borderId="34" xfId="1" applyFont="1" applyFill="1" applyBorder="1" applyAlignment="1">
      <alignment horizontal="center" vertical="center"/>
    </xf>
    <xf numFmtId="43" fontId="11" fillId="2" borderId="30" xfId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justify" vertical="center"/>
    </xf>
    <xf numFmtId="43" fontId="3" fillId="0" borderId="3" xfId="1" applyFont="1" applyFill="1" applyBorder="1" applyAlignment="1">
      <alignment vertical="center"/>
    </xf>
    <xf numFmtId="43" fontId="3" fillId="0" borderId="17" xfId="1" applyFont="1" applyFill="1" applyBorder="1" applyAlignment="1">
      <alignment vertical="center"/>
    </xf>
    <xf numFmtId="43" fontId="11" fillId="2" borderId="4" xfId="1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  <xf numFmtId="43" fontId="12" fillId="0" borderId="20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zoomScaleNormal="100" workbookViewId="0">
      <selection activeCell="L12" sqref="L1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4" ht="21.75" thickBot="1">
      <c r="A2" s="177" t="s">
        <v>43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4" s="175" customFormat="1" ht="11.25">
      <c r="A3" s="180" t="s">
        <v>0</v>
      </c>
      <c r="B3" s="182" t="s">
        <v>1</v>
      </c>
      <c r="C3" s="182" t="s">
        <v>2</v>
      </c>
      <c r="D3" s="182" t="s">
        <v>3</v>
      </c>
      <c r="E3" s="182" t="s">
        <v>4</v>
      </c>
      <c r="F3" s="182" t="s">
        <v>5</v>
      </c>
      <c r="G3" s="182" t="s">
        <v>6</v>
      </c>
      <c r="H3" s="182" t="s">
        <v>7</v>
      </c>
      <c r="I3" s="182" t="s">
        <v>16</v>
      </c>
      <c r="J3" s="182" t="s">
        <v>8</v>
      </c>
      <c r="K3" s="182" t="s">
        <v>9</v>
      </c>
      <c r="L3" s="182" t="s">
        <v>10</v>
      </c>
      <c r="M3" s="184" t="s">
        <v>11</v>
      </c>
    </row>
    <row r="4" spans="1:14" s="58" customFormat="1" ht="11.25">
      <c r="A4" s="181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4" ht="15" customHeight="1">
      <c r="A5" s="55" t="s">
        <v>20</v>
      </c>
      <c r="B5" s="96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59" t="s">
        <v>21</v>
      </c>
      <c r="B6" s="57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59" t="s">
        <v>22</v>
      </c>
      <c r="B7" s="57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59" t="s">
        <v>23</v>
      </c>
      <c r="B8" s="57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59" t="s">
        <v>24</v>
      </c>
      <c r="B9" s="57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59" t="s">
        <v>25</v>
      </c>
      <c r="B10" s="57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>
      <c r="A11" s="55" t="s">
        <v>26</v>
      </c>
      <c r="B11" s="61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17" customFormat="1" ht="15" customHeight="1">
      <c r="A12" s="62" t="s">
        <v>27</v>
      </c>
      <c r="B12" s="61">
        <v>4500</v>
      </c>
      <c r="C12" s="98">
        <f>2100+2100</f>
        <v>4200</v>
      </c>
      <c r="D12" s="98">
        <f>2325*2</f>
        <v>4650</v>
      </c>
      <c r="E12" s="96">
        <v>4500</v>
      </c>
      <c r="F12" s="98">
        <v>4650</v>
      </c>
      <c r="G12" s="98">
        <f>2250+2250</f>
        <v>4500</v>
      </c>
      <c r="H12" s="98">
        <f>2325+2325</f>
        <v>4650</v>
      </c>
      <c r="I12" s="98">
        <f>2325+2325</f>
        <v>4650</v>
      </c>
      <c r="J12" s="98">
        <v>4500</v>
      </c>
      <c r="K12" s="98">
        <f>2325+2325</f>
        <v>4650</v>
      </c>
      <c r="L12" s="98">
        <v>4500</v>
      </c>
      <c r="M12" s="99">
        <v>0</v>
      </c>
    </row>
    <row r="13" spans="1:14" s="15" customFormat="1" ht="15" customHeight="1">
      <c r="A13" s="62" t="s">
        <v>28</v>
      </c>
      <c r="B13" s="61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4" s="17" customFormat="1" ht="15" customHeight="1">
      <c r="A14" s="62" t="s">
        <v>29</v>
      </c>
      <c r="B14" s="61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15" customFormat="1" ht="15" customHeight="1">
      <c r="A15" s="62" t="s">
        <v>30</v>
      </c>
      <c r="B15" s="61">
        <v>0</v>
      </c>
      <c r="C15" s="98">
        <v>0</v>
      </c>
      <c r="D15" s="98">
        <v>141.5</v>
      </c>
      <c r="E15" s="96">
        <v>0</v>
      </c>
      <c r="F15" s="96">
        <v>0</v>
      </c>
      <c r="G15" s="98">
        <v>234</v>
      </c>
      <c r="H15" s="98">
        <v>0</v>
      </c>
      <c r="I15" s="98">
        <v>173</v>
      </c>
      <c r="J15" s="98">
        <v>0</v>
      </c>
      <c r="K15" s="98">
        <v>0</v>
      </c>
      <c r="L15" s="98">
        <v>0</v>
      </c>
      <c r="M15" s="99">
        <v>0</v>
      </c>
    </row>
    <row r="16" spans="1:14" s="15" customFormat="1" ht="15" customHeight="1">
      <c r="A16" s="62" t="s">
        <v>31</v>
      </c>
      <c r="B16" s="61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  <c r="N16" s="6"/>
    </row>
    <row r="17" spans="1:13" ht="15" customHeight="1">
      <c r="A17" s="62" t="s">
        <v>32</v>
      </c>
      <c r="B17" s="61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65" t="s">
        <v>33</v>
      </c>
      <c r="B18" s="92">
        <v>0</v>
      </c>
      <c r="C18" s="100">
        <v>412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4500</v>
      </c>
      <c r="C19" s="101">
        <f t="shared" ref="C19:M19" si="1">SUM(C5:C18)</f>
        <v>4612</v>
      </c>
      <c r="D19" s="101">
        <f t="shared" si="1"/>
        <v>4791.5</v>
      </c>
      <c r="E19" s="101">
        <f t="shared" si="1"/>
        <v>4500</v>
      </c>
      <c r="F19" s="101">
        <f t="shared" si="1"/>
        <v>4650</v>
      </c>
      <c r="G19" s="101">
        <f t="shared" si="1"/>
        <v>4734</v>
      </c>
      <c r="H19" s="101">
        <f t="shared" si="1"/>
        <v>4650</v>
      </c>
      <c r="I19" s="101">
        <f t="shared" si="1"/>
        <v>4823</v>
      </c>
      <c r="J19" s="101">
        <f t="shared" si="1"/>
        <v>4500</v>
      </c>
      <c r="K19" s="101">
        <f t="shared" si="1"/>
        <v>4650</v>
      </c>
      <c r="L19" s="101">
        <f t="shared" si="1"/>
        <v>4500</v>
      </c>
      <c r="M19" s="101">
        <f t="shared" si="1"/>
        <v>0</v>
      </c>
    </row>
    <row r="20" spans="1:13" ht="15" customHeight="1" thickBot="1">
      <c r="A20" s="70" t="s">
        <v>14</v>
      </c>
      <c r="B20" s="93">
        <v>0</v>
      </c>
      <c r="C20" s="98">
        <v>12</v>
      </c>
      <c r="D20" s="98">
        <v>191.5</v>
      </c>
      <c r="E20" s="98">
        <v>0</v>
      </c>
      <c r="F20" s="98">
        <v>0</v>
      </c>
      <c r="G20" s="98">
        <v>134</v>
      </c>
      <c r="H20" s="98">
        <v>50</v>
      </c>
      <c r="I20" s="98">
        <v>223</v>
      </c>
      <c r="J20" s="98">
        <v>0</v>
      </c>
      <c r="K20" s="98">
        <v>50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4500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4500</v>
      </c>
      <c r="F21" s="101">
        <f t="shared" si="2"/>
        <v>4650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4500</v>
      </c>
      <c r="K21" s="101">
        <f t="shared" si="2"/>
        <v>4600</v>
      </c>
      <c r="L21" s="101">
        <f t="shared" si="2"/>
        <v>4500</v>
      </c>
      <c r="M21" s="101">
        <f t="shared" si="2"/>
        <v>0</v>
      </c>
    </row>
    <row r="22" spans="1:13" ht="15" customHeight="1" thickBot="1">
      <c r="A22" s="70" t="s">
        <v>12</v>
      </c>
      <c r="B22" s="77">
        <f>AVERAGE(B21)</f>
        <v>4500</v>
      </c>
      <c r="C22" s="111">
        <f>AVERAGE($B$21:C21)</f>
        <v>4550</v>
      </c>
      <c r="D22" s="111">
        <f>AVERAGE($B$21:D21)</f>
        <v>4566.666666666667</v>
      </c>
      <c r="E22" s="111">
        <f>AVERAGE($B$21:E21)</f>
        <v>4550</v>
      </c>
      <c r="F22" s="111">
        <f>AVERAGE($B$21:F21)</f>
        <v>4570</v>
      </c>
      <c r="G22" s="111">
        <f>AVERAGE($B$21:G21)</f>
        <v>4575</v>
      </c>
      <c r="H22" s="111">
        <f>AVERAGE($B$21:H21)</f>
        <v>4578.5714285714284</v>
      </c>
      <c r="I22" s="111">
        <f>AVERAGE($B$21:I21)</f>
        <v>4581.25</v>
      </c>
      <c r="J22" s="111">
        <f>AVERAGE($B$21:J21)</f>
        <v>4572.2222222222226</v>
      </c>
      <c r="K22" s="111">
        <f>AVERAGE($B$21:K21)</f>
        <v>4575</v>
      </c>
      <c r="L22" s="111">
        <f>AVERAGE($B$21:L21)</f>
        <v>4568.181818181818</v>
      </c>
      <c r="M22" s="112"/>
    </row>
    <row r="23" spans="1:13" ht="15" customHeight="1" thickBot="1">
      <c r="A23" s="71" t="s">
        <v>13</v>
      </c>
      <c r="B23" s="169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L15" sqref="L15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52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26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9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3418.7</v>
      </c>
      <c r="J15" s="98">
        <v>0</v>
      </c>
      <c r="K15" s="98">
        <v>3469.3</v>
      </c>
      <c r="L15" s="98">
        <v>0</v>
      </c>
      <c r="M15" s="99">
        <v>0</v>
      </c>
    </row>
    <row r="16" spans="1:13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9">
        <v>0</v>
      </c>
      <c r="C18" s="100">
        <v>3470</v>
      </c>
      <c r="D18" s="100">
        <v>0</v>
      </c>
      <c r="E18" s="96">
        <v>2775</v>
      </c>
      <c r="F18" s="96">
        <v>0</v>
      </c>
      <c r="G18" s="98">
        <v>0</v>
      </c>
      <c r="H18" s="98">
        <v>0</v>
      </c>
      <c r="I18" s="98">
        <v>0</v>
      </c>
      <c r="J18" s="98">
        <v>2875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123" t="s">
        <v>35</v>
      </c>
      <c r="C19" s="101">
        <f t="shared" ref="C19:M19" si="0">SUM(C5:C18)</f>
        <v>3470</v>
      </c>
      <c r="D19" s="123" t="s">
        <v>35</v>
      </c>
      <c r="E19" s="101">
        <f t="shared" si="0"/>
        <v>2775</v>
      </c>
      <c r="F19" s="123" t="s">
        <v>35</v>
      </c>
      <c r="G19" s="123" t="s">
        <v>35</v>
      </c>
      <c r="H19" s="123" t="s">
        <v>35</v>
      </c>
      <c r="I19" s="101">
        <f t="shared" si="0"/>
        <v>3418.7</v>
      </c>
      <c r="J19" s="101">
        <f t="shared" si="0"/>
        <v>2875</v>
      </c>
      <c r="K19" s="101">
        <f t="shared" si="0"/>
        <v>3469.3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23">
        <v>0</v>
      </c>
      <c r="C21" s="101">
        <f t="shared" ref="C21:M21" si="1">C19-C20</f>
        <v>3470</v>
      </c>
      <c r="D21" s="123">
        <v>0</v>
      </c>
      <c r="E21" s="101">
        <f t="shared" si="1"/>
        <v>2775</v>
      </c>
      <c r="F21" s="123">
        <v>0</v>
      </c>
      <c r="G21" s="123">
        <v>0</v>
      </c>
      <c r="H21" s="123">
        <v>0</v>
      </c>
      <c r="I21" s="101">
        <f t="shared" si="1"/>
        <v>3418.7</v>
      </c>
      <c r="J21" s="101">
        <f t="shared" si="1"/>
        <v>2875</v>
      </c>
      <c r="K21" s="101">
        <f t="shared" si="1"/>
        <v>3469.3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0</v>
      </c>
      <c r="C22" s="111">
        <f>AVERAGE($B$21:C21)</f>
        <v>1735</v>
      </c>
      <c r="D22" s="111">
        <f>AVERAGE($B$21:D21)</f>
        <v>1156.6666666666667</v>
      </c>
      <c r="E22" s="111">
        <f>AVERAGE($B$21:E21)</f>
        <v>1561.25</v>
      </c>
      <c r="F22" s="111">
        <f>AVERAGE($B$21:F21)</f>
        <v>1249</v>
      </c>
      <c r="G22" s="111">
        <f>AVERAGE($B$21:G21)</f>
        <v>1040.8333333333333</v>
      </c>
      <c r="H22" s="111">
        <f>AVERAGE($B$21:H21)</f>
        <v>892.14285714285711</v>
      </c>
      <c r="I22" s="111">
        <f>AVERAGE($B$21:I21)</f>
        <v>1207.9625000000001</v>
      </c>
      <c r="J22" s="111">
        <f>AVERAGE($B$21:J21)</f>
        <v>1393.1888888888889</v>
      </c>
      <c r="K22" s="111">
        <f>AVERAGE($B$21:K21)</f>
        <v>1600.8</v>
      </c>
      <c r="L22" s="111"/>
      <c r="M22" s="112"/>
    </row>
    <row r="23" spans="1:13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30" t="s">
        <v>82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53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6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8" t="s">
        <v>27</v>
      </c>
      <c r="B12" s="113">
        <v>4200</v>
      </c>
      <c r="C12" s="98">
        <v>4200</v>
      </c>
      <c r="D12" s="98">
        <v>4200</v>
      </c>
      <c r="E12" s="98">
        <v>4200</v>
      </c>
      <c r="F12" s="98">
        <v>4200</v>
      </c>
      <c r="G12" s="98">
        <v>4200</v>
      </c>
      <c r="H12" s="98">
        <v>4200</v>
      </c>
      <c r="I12" s="98">
        <v>4200</v>
      </c>
      <c r="J12" s="98">
        <v>4200</v>
      </c>
      <c r="K12" s="98">
        <v>4200</v>
      </c>
      <c r="L12" s="98">
        <v>4200</v>
      </c>
      <c r="M12" s="99">
        <v>0</v>
      </c>
    </row>
    <row r="13" spans="1:13" s="6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4200</v>
      </c>
      <c r="C19" s="101">
        <f t="shared" ref="C19:M19" si="0">SUM(C5:C18)</f>
        <v>4200</v>
      </c>
      <c r="D19" s="101">
        <f t="shared" si="0"/>
        <v>4200</v>
      </c>
      <c r="E19" s="101">
        <f t="shared" si="0"/>
        <v>4200</v>
      </c>
      <c r="F19" s="101">
        <f t="shared" si="0"/>
        <v>4200</v>
      </c>
      <c r="G19" s="101">
        <f t="shared" si="0"/>
        <v>4200</v>
      </c>
      <c r="H19" s="101">
        <f t="shared" si="0"/>
        <v>4200</v>
      </c>
      <c r="I19" s="101">
        <f t="shared" si="0"/>
        <v>4200</v>
      </c>
      <c r="J19" s="101">
        <f t="shared" si="0"/>
        <v>4200</v>
      </c>
      <c r="K19" s="101">
        <f t="shared" si="0"/>
        <v>4200</v>
      </c>
      <c r="L19" s="101">
        <f t="shared" si="0"/>
        <v>4200</v>
      </c>
      <c r="M19" s="101">
        <f t="shared" si="0"/>
        <v>0</v>
      </c>
    </row>
    <row r="20" spans="1:13" ht="15" customHeight="1" thickBot="1">
      <c r="A20" s="70" t="s">
        <v>14</v>
      </c>
      <c r="B20" s="113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01">
        <f>B19-B20</f>
        <v>4200</v>
      </c>
      <c r="C21" s="101">
        <f t="shared" ref="C21:M21" si="1">C19-C20</f>
        <v>4200</v>
      </c>
      <c r="D21" s="101">
        <f t="shared" si="1"/>
        <v>4200</v>
      </c>
      <c r="E21" s="101">
        <f t="shared" si="1"/>
        <v>4200</v>
      </c>
      <c r="F21" s="101">
        <f t="shared" si="1"/>
        <v>4200</v>
      </c>
      <c r="G21" s="101">
        <f t="shared" si="1"/>
        <v>4200</v>
      </c>
      <c r="H21" s="101">
        <f t="shared" si="1"/>
        <v>4200</v>
      </c>
      <c r="I21" s="101">
        <f t="shared" si="1"/>
        <v>4200</v>
      </c>
      <c r="J21" s="101">
        <f t="shared" si="1"/>
        <v>4200</v>
      </c>
      <c r="K21" s="101">
        <f t="shared" si="1"/>
        <v>4200</v>
      </c>
      <c r="L21" s="101">
        <f t="shared" si="1"/>
        <v>4200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4200</v>
      </c>
      <c r="C22" s="111">
        <f>AVERAGE($B$21:C21)</f>
        <v>4200</v>
      </c>
      <c r="D22" s="111">
        <f>AVERAGE($B$21:D21)</f>
        <v>4200</v>
      </c>
      <c r="E22" s="111">
        <f>AVERAGE($B$21:E21)</f>
        <v>4200</v>
      </c>
      <c r="F22" s="111">
        <f>AVERAGE($B$21:F21)</f>
        <v>4200</v>
      </c>
      <c r="G22" s="111">
        <f>AVERAGE($B$21:G21)</f>
        <v>4200</v>
      </c>
      <c r="H22" s="111">
        <f>AVERAGE($B$21:H21)</f>
        <v>4200</v>
      </c>
      <c r="I22" s="111">
        <f>AVERAGE($B$21:I21)</f>
        <v>4200</v>
      </c>
      <c r="J22" s="111">
        <f>AVERAGE($B$21:J21)</f>
        <v>4200</v>
      </c>
      <c r="K22" s="111">
        <f>AVERAGE($B$21:K21)</f>
        <v>4200</v>
      </c>
      <c r="L22" s="111">
        <f>AVERAGE($B$21:L21)</f>
        <v>4200</v>
      </c>
      <c r="M22" s="112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0" sqref="L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54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2500</v>
      </c>
      <c r="C5" s="96">
        <v>2500</v>
      </c>
      <c r="D5" s="96">
        <v>2500</v>
      </c>
      <c r="E5" s="96">
        <v>2500</v>
      </c>
      <c r="F5" s="96">
        <v>2500</v>
      </c>
      <c r="G5" s="96">
        <v>2500</v>
      </c>
      <c r="H5" s="96">
        <v>2500</v>
      </c>
      <c r="I5" s="96">
        <v>2500</v>
      </c>
      <c r="J5" s="96">
        <v>2500</v>
      </c>
      <c r="K5" s="96">
        <v>2500</v>
      </c>
      <c r="L5" s="96">
        <v>2500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911.16</v>
      </c>
      <c r="C7" s="96">
        <v>685.32</v>
      </c>
      <c r="D7" s="96">
        <v>627.29</v>
      </c>
      <c r="E7" s="96">
        <v>607.17999999999995</v>
      </c>
      <c r="F7" s="96">
        <v>688.4</v>
      </c>
      <c r="G7" s="96">
        <v>685.77</v>
      </c>
      <c r="H7" s="96">
        <v>472.66</v>
      </c>
      <c r="I7" s="96">
        <v>550.16999999999996</v>
      </c>
      <c r="J7" s="96">
        <v>476.75</v>
      </c>
      <c r="K7" s="96">
        <v>602.30999999999995</v>
      </c>
      <c r="L7" s="96">
        <v>663.88</v>
      </c>
      <c r="M7" s="97">
        <v>0</v>
      </c>
    </row>
    <row r="8" spans="1:13" ht="15" customHeight="1">
      <c r="A8" s="87" t="s">
        <v>23</v>
      </c>
      <c r="B8" s="113">
        <v>42.3</v>
      </c>
      <c r="C8" s="96">
        <v>42.56</v>
      </c>
      <c r="D8" s="96">
        <v>42.3</v>
      </c>
      <c r="E8" s="96">
        <v>42.3</v>
      </c>
      <c r="F8" s="96">
        <v>42.3</v>
      </c>
      <c r="G8" s="96">
        <v>42.3</v>
      </c>
      <c r="H8" s="96">
        <v>42.57</v>
      </c>
      <c r="I8" s="96">
        <v>45.08</v>
      </c>
      <c r="J8" s="96">
        <v>45.08</v>
      </c>
      <c r="K8" s="96">
        <v>45.08</v>
      </c>
      <c r="L8" s="96">
        <v>45.08</v>
      </c>
      <c r="M8" s="97">
        <v>0</v>
      </c>
    </row>
    <row r="9" spans="1:13" ht="15" customHeight="1">
      <c r="A9" s="87" t="s">
        <v>24</v>
      </c>
      <c r="B9" s="96">
        <v>0</v>
      </c>
      <c r="C9" s="96">
        <v>607.35</v>
      </c>
      <c r="D9" s="96">
        <f>607.35+185.1</f>
        <v>792.45</v>
      </c>
      <c r="E9" s="96">
        <v>607.35</v>
      </c>
      <c r="F9" s="96">
        <v>607.35</v>
      </c>
      <c r="G9" s="96">
        <v>607.35</v>
      </c>
      <c r="H9" s="96">
        <v>607.35</v>
      </c>
      <c r="I9" s="96">
        <v>607.35</v>
      </c>
      <c r="J9" s="96">
        <v>607.35</v>
      </c>
      <c r="K9" s="96">
        <v>607.35</v>
      </c>
      <c r="L9" s="96">
        <v>593.58000000000004</v>
      </c>
      <c r="M9" s="97">
        <v>0</v>
      </c>
    </row>
    <row r="10" spans="1:13" ht="15" customHeight="1">
      <c r="A10" s="87" t="s">
        <v>25</v>
      </c>
      <c r="B10" s="113">
        <v>265.01</v>
      </c>
      <c r="C10" s="96">
        <v>329.19</v>
      </c>
      <c r="D10" s="96">
        <v>406.9</v>
      </c>
      <c r="E10" s="96">
        <v>259.72000000000003</v>
      </c>
      <c r="F10" s="96">
        <v>322.73</v>
      </c>
      <c r="G10" s="96">
        <v>303.58</v>
      </c>
      <c r="H10" s="96">
        <v>418.56</v>
      </c>
      <c r="I10" s="96">
        <v>340.99</v>
      </c>
      <c r="J10" s="96">
        <v>410.07</v>
      </c>
      <c r="K10" s="96">
        <v>350.9</v>
      </c>
      <c r="L10" s="96">
        <v>259.32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1026.27</v>
      </c>
      <c r="F13" s="96">
        <v>0</v>
      </c>
      <c r="G13" s="98">
        <v>410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199</v>
      </c>
      <c r="C15" s="98">
        <v>117.5</v>
      </c>
      <c r="D15" s="98">
        <v>80</v>
      </c>
      <c r="E15" s="96">
        <v>200</v>
      </c>
      <c r="F15" s="96">
        <v>99.5</v>
      </c>
      <c r="G15" s="98">
        <v>100</v>
      </c>
      <c r="H15" s="98">
        <v>100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3917.4700000000003</v>
      </c>
      <c r="C19" s="101">
        <f t="shared" si="0"/>
        <v>4281.92</v>
      </c>
      <c r="D19" s="101">
        <f t="shared" si="0"/>
        <v>4448.9399999999996</v>
      </c>
      <c r="E19" s="101">
        <f t="shared" si="0"/>
        <v>5242.82</v>
      </c>
      <c r="F19" s="101">
        <f t="shared" si="0"/>
        <v>4260.2800000000007</v>
      </c>
      <c r="G19" s="101">
        <f t="shared" si="0"/>
        <v>4649</v>
      </c>
      <c r="H19" s="101">
        <f t="shared" si="0"/>
        <v>4141.1399999999994</v>
      </c>
      <c r="I19" s="101">
        <f t="shared" si="0"/>
        <v>4043.59</v>
      </c>
      <c r="J19" s="101">
        <f t="shared" si="0"/>
        <v>4039.25</v>
      </c>
      <c r="K19" s="101">
        <f t="shared" si="0"/>
        <v>4105.6399999999994</v>
      </c>
      <c r="L19" s="101">
        <f t="shared" si="0"/>
        <v>4061.86</v>
      </c>
      <c r="M19" s="101">
        <f t="shared" si="0"/>
        <v>0</v>
      </c>
    </row>
    <row r="20" spans="1:13" ht="15" customHeight="1" thickBot="1">
      <c r="A20" s="70" t="s">
        <v>14</v>
      </c>
      <c r="B20" s="116">
        <v>123.04</v>
      </c>
      <c r="C20" s="98">
        <v>116.22</v>
      </c>
      <c r="D20" s="98">
        <v>52.17</v>
      </c>
      <c r="E20" s="98">
        <v>642.82000000000005</v>
      </c>
      <c r="F20" s="98">
        <v>52.95</v>
      </c>
      <c r="G20" s="98">
        <v>52.79</v>
      </c>
      <c r="H20" s="98">
        <v>36.61</v>
      </c>
      <c r="I20" s="98">
        <v>64.790000000000006</v>
      </c>
      <c r="J20" s="98">
        <v>36.340000000000003</v>
      </c>
      <c r="K20" s="98">
        <v>49.34</v>
      </c>
      <c r="L20" s="98">
        <v>20.059999999999999</v>
      </c>
      <c r="M20" s="99">
        <v>0</v>
      </c>
    </row>
    <row r="21" spans="1:13" ht="15" customHeight="1" thickBot="1">
      <c r="A21" s="67" t="s">
        <v>15</v>
      </c>
      <c r="B21" s="69">
        <f>B19-B20</f>
        <v>3794.4300000000003</v>
      </c>
      <c r="C21" s="101">
        <f t="shared" ref="C21:M21" si="1">C19-C20</f>
        <v>4165.7</v>
      </c>
      <c r="D21" s="101">
        <f t="shared" si="1"/>
        <v>4396.7699999999995</v>
      </c>
      <c r="E21" s="101">
        <f t="shared" si="1"/>
        <v>4600</v>
      </c>
      <c r="F21" s="101">
        <f t="shared" si="1"/>
        <v>4207.3300000000008</v>
      </c>
      <c r="G21" s="101">
        <f t="shared" si="1"/>
        <v>4596.21</v>
      </c>
      <c r="H21" s="101">
        <f t="shared" si="1"/>
        <v>4104.53</v>
      </c>
      <c r="I21" s="101">
        <f t="shared" si="1"/>
        <v>3978.8</v>
      </c>
      <c r="J21" s="101">
        <f t="shared" si="1"/>
        <v>4002.91</v>
      </c>
      <c r="K21" s="101">
        <f t="shared" si="1"/>
        <v>4056.2999999999993</v>
      </c>
      <c r="L21" s="101">
        <f t="shared" si="1"/>
        <v>4041.8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3794.4300000000003</v>
      </c>
      <c r="C22" s="111">
        <f>AVERAGE($B$21:C21)</f>
        <v>3980.0650000000001</v>
      </c>
      <c r="D22" s="111">
        <f>AVERAGE($B$21:D21)</f>
        <v>4118.9666666666662</v>
      </c>
      <c r="E22" s="111">
        <f>AVERAGE($B$21:E21)</f>
        <v>4239.2250000000004</v>
      </c>
      <c r="F22" s="111">
        <f>AVERAGE($B$21:F21)</f>
        <v>4232.8460000000005</v>
      </c>
      <c r="G22" s="111">
        <f>AVERAGE($B$21:G21)</f>
        <v>4293.4066666666668</v>
      </c>
      <c r="H22" s="111">
        <f>AVERAGE($B$21:H21)</f>
        <v>4266.4242857142863</v>
      </c>
      <c r="I22" s="111">
        <f>AVERAGE($B$21:I21)</f>
        <v>4230.4712500000005</v>
      </c>
      <c r="J22" s="111">
        <f>AVERAGE($B$21:J21)</f>
        <v>4205.1866666666674</v>
      </c>
      <c r="K22" s="111">
        <f>AVERAGE($B$21:K21)</f>
        <v>4190.2980000000007</v>
      </c>
      <c r="L22" s="111">
        <f>AVERAGE($B$21:L21)</f>
        <v>4176.7981818181834</v>
      </c>
      <c r="M22" s="112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33"/>
  <sheetViews>
    <sheetView topLeftCell="A3" zoomScaleNormal="100" workbookViewId="0">
      <selection activeCell="C20" sqref="C20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54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s="155" customFormat="1" ht="21.75" thickBot="1">
      <c r="A2" s="177" t="s">
        <v>55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6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155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162"/>
    </row>
    <row r="6" spans="1:13" s="155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162"/>
    </row>
    <row r="7" spans="1:13" s="155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162"/>
    </row>
    <row r="8" spans="1:13" s="155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162"/>
    </row>
    <row r="9" spans="1:13" s="155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162"/>
    </row>
    <row r="10" spans="1:13" s="155" customFormat="1" ht="15" customHeight="1">
      <c r="A10" s="87" t="s">
        <v>25</v>
      </c>
      <c r="B10" s="102">
        <v>0</v>
      </c>
      <c r="C10" s="96">
        <v>0</v>
      </c>
      <c r="D10" s="96">
        <f>122.67+59.99</f>
        <v>182.66</v>
      </c>
      <c r="E10" s="96">
        <f>122.67+59.99</f>
        <v>182.66</v>
      </c>
      <c r="F10" s="96">
        <f>59.99+116.44</f>
        <v>176.43</v>
      </c>
      <c r="G10" s="96">
        <f>122.67+59.99</f>
        <v>182.66</v>
      </c>
      <c r="H10" s="96">
        <f>113.48+59.99</f>
        <v>173.47</v>
      </c>
      <c r="I10" s="96">
        <f>122.67+59.99</f>
        <v>182.66</v>
      </c>
      <c r="J10" s="96">
        <f>59.99+122.67</f>
        <v>182.66</v>
      </c>
      <c r="K10" s="96">
        <f>122.67+65.99</f>
        <v>188.66</v>
      </c>
      <c r="L10" s="96">
        <f>126.06+65.99</f>
        <v>192.05</v>
      </c>
      <c r="M10" s="162"/>
    </row>
    <row r="11" spans="1:13" s="155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163"/>
    </row>
    <row r="12" spans="1:13" s="157" customFormat="1" ht="15" customHeight="1">
      <c r="A12" s="88" t="s">
        <v>27</v>
      </c>
      <c r="B12" s="114">
        <v>1750</v>
      </c>
      <c r="C12" s="98">
        <v>1507.52</v>
      </c>
      <c r="D12" s="98">
        <v>1750</v>
      </c>
      <c r="E12" s="96">
        <v>1693.5</v>
      </c>
      <c r="F12" s="98">
        <v>1750</v>
      </c>
      <c r="G12" s="96">
        <v>1693.5</v>
      </c>
      <c r="H12" s="98">
        <v>1750</v>
      </c>
      <c r="I12" s="98">
        <f>1750+1550</f>
        <v>3300</v>
      </c>
      <c r="J12" s="96">
        <f>1693.5+1500</f>
        <v>3193.5</v>
      </c>
      <c r="K12" s="98">
        <f>1750+1550</f>
        <v>3300</v>
      </c>
      <c r="L12" s="96">
        <f>1693.5+1500</f>
        <v>3193.5</v>
      </c>
      <c r="M12" s="164"/>
    </row>
    <row r="13" spans="1:13" s="158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270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164"/>
    </row>
    <row r="14" spans="1:13" s="158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164"/>
    </row>
    <row r="15" spans="1:13" s="158" customFormat="1" ht="15" customHeight="1">
      <c r="A15" s="89" t="s">
        <v>30</v>
      </c>
      <c r="B15" s="114">
        <v>1301.7</v>
      </c>
      <c r="C15" s="98">
        <v>385.6</v>
      </c>
      <c r="D15" s="98">
        <v>1667.94</v>
      </c>
      <c r="E15" s="96">
        <f>409.4+189.8+1254.64</f>
        <v>1853.8400000000001</v>
      </c>
      <c r="F15" s="96">
        <f>59.9+79+466.8+832.7</f>
        <v>1438.4</v>
      </c>
      <c r="G15" s="98">
        <f>783+239.8</f>
        <v>1022.8</v>
      </c>
      <c r="H15" s="98">
        <v>1026</v>
      </c>
      <c r="I15" s="98">
        <f>341.9+775</f>
        <v>1116.9000000000001</v>
      </c>
      <c r="J15" s="98">
        <v>0</v>
      </c>
      <c r="K15" s="98">
        <f>141.95+247.7+784</f>
        <v>1173.6500000000001</v>
      </c>
      <c r="L15" s="98">
        <f>379.6+1134.85</f>
        <v>1514.4499999999998</v>
      </c>
      <c r="M15" s="163"/>
    </row>
    <row r="16" spans="1:13" s="157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164"/>
    </row>
    <row r="17" spans="1:13" s="155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164"/>
    </row>
    <row r="18" spans="1:13" s="155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163"/>
    </row>
    <row r="19" spans="1:13" s="155" customFormat="1" ht="15" customHeight="1" thickBot="1">
      <c r="A19" s="67" t="s">
        <v>34</v>
      </c>
      <c r="B19" s="69">
        <f>SUM(B5:B18)</f>
        <v>3051.7</v>
      </c>
      <c r="C19" s="101">
        <f t="shared" ref="C19:L19" si="0">SUM(C5:C18)</f>
        <v>1893.12</v>
      </c>
      <c r="D19" s="101">
        <f t="shared" si="0"/>
        <v>3600.6000000000004</v>
      </c>
      <c r="E19" s="101">
        <f t="shared" si="0"/>
        <v>4000</v>
      </c>
      <c r="F19" s="101">
        <f t="shared" si="0"/>
        <v>3364.83</v>
      </c>
      <c r="G19" s="101">
        <f t="shared" si="0"/>
        <v>2898.96</v>
      </c>
      <c r="H19" s="101">
        <f t="shared" si="0"/>
        <v>2949.4700000000003</v>
      </c>
      <c r="I19" s="101">
        <f t="shared" si="0"/>
        <v>4599.5599999999995</v>
      </c>
      <c r="J19" s="101">
        <f t="shared" si="0"/>
        <v>3376.16</v>
      </c>
      <c r="K19" s="101">
        <f t="shared" si="0"/>
        <v>4662.3099999999995</v>
      </c>
      <c r="L19" s="101">
        <f t="shared" si="0"/>
        <v>4900</v>
      </c>
      <c r="M19" s="68"/>
    </row>
    <row r="20" spans="1:13" s="155" customFormat="1" ht="15" customHeight="1" thickBot="1">
      <c r="A20" s="70" t="s">
        <v>14</v>
      </c>
      <c r="B20" s="103">
        <v>0</v>
      </c>
      <c r="C20" s="98">
        <v>1326.07</v>
      </c>
      <c r="D20" s="98">
        <v>0.6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350.22</v>
      </c>
      <c r="K20" s="98">
        <f>0.16+62.15</f>
        <v>62.309999999999995</v>
      </c>
      <c r="L20" s="98">
        <v>4394.34</v>
      </c>
      <c r="M20" s="163"/>
    </row>
    <row r="21" spans="1:13" s="155" customFormat="1" ht="15" customHeight="1" thickBot="1">
      <c r="A21" s="67" t="s">
        <v>15</v>
      </c>
      <c r="B21" s="69">
        <f>B19-B20</f>
        <v>3051.7</v>
      </c>
      <c r="C21" s="101">
        <f t="shared" ref="C21:L21" si="1">C19-C20</f>
        <v>567.04999999999995</v>
      </c>
      <c r="D21" s="101">
        <f t="shared" si="1"/>
        <v>3600.0000000000005</v>
      </c>
      <c r="E21" s="101">
        <f t="shared" si="1"/>
        <v>4000</v>
      </c>
      <c r="F21" s="101">
        <f t="shared" si="1"/>
        <v>3364.83</v>
      </c>
      <c r="G21" s="101">
        <f t="shared" si="1"/>
        <v>2898.96</v>
      </c>
      <c r="H21" s="101">
        <f t="shared" si="1"/>
        <v>2949.4700000000003</v>
      </c>
      <c r="I21" s="101">
        <f t="shared" si="1"/>
        <v>4599.5599999999995</v>
      </c>
      <c r="J21" s="101">
        <f t="shared" si="1"/>
        <v>3025.9399999999996</v>
      </c>
      <c r="K21" s="101">
        <f t="shared" si="1"/>
        <v>4599.9999999999991</v>
      </c>
      <c r="L21" s="101">
        <f t="shared" si="1"/>
        <v>505.65999999999985</v>
      </c>
      <c r="M21" s="68"/>
    </row>
    <row r="22" spans="1:13" s="155" customFormat="1" ht="15" customHeight="1" thickBot="1">
      <c r="A22" s="70" t="s">
        <v>12</v>
      </c>
      <c r="B22" s="117">
        <f>AVERAGE(B21)</f>
        <v>3051.7</v>
      </c>
      <c r="C22" s="111">
        <f>AVERAGE($B$21:C21)</f>
        <v>1809.375</v>
      </c>
      <c r="D22" s="111">
        <f>AVERAGE($B$21:D21)</f>
        <v>2406.25</v>
      </c>
      <c r="E22" s="111">
        <f>AVERAGE($B$21:E21)</f>
        <v>2804.6875</v>
      </c>
      <c r="F22" s="111">
        <f>AVERAGE($B$21:F21)</f>
        <v>2916.7159999999999</v>
      </c>
      <c r="G22" s="111">
        <f>AVERAGE($B$21:G21)</f>
        <v>2913.7566666666667</v>
      </c>
      <c r="H22" s="111">
        <f>AVERAGE($B$21:H21)</f>
        <v>2918.8585714285718</v>
      </c>
      <c r="I22" s="111">
        <f>AVERAGE($B$21:I21)</f>
        <v>3128.94625</v>
      </c>
      <c r="J22" s="111">
        <f>AVERAGE($B$21:J21)</f>
        <v>3117.5011111111107</v>
      </c>
      <c r="K22" s="111">
        <f>AVERAGE($B$21:K21)</f>
        <v>3265.7509999999997</v>
      </c>
      <c r="L22" s="111">
        <f>AVERAGE($B$21:L21)</f>
        <v>3014.8336363636363</v>
      </c>
      <c r="M22" s="168"/>
    </row>
    <row r="23" spans="1:13" s="155" customFormat="1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167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2" t="s">
        <v>89</v>
      </c>
      <c r="B25" s="7" t="s">
        <v>18</v>
      </c>
    </row>
    <row r="33" spans="13:13">
      <c r="M33" s="8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F10 H10 J12:K12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0" sqref="L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56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58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938.34</v>
      </c>
      <c r="C5" s="113">
        <v>938.34</v>
      </c>
      <c r="D5" s="113">
        <v>938.34</v>
      </c>
      <c r="E5" s="113">
        <v>938.34</v>
      </c>
      <c r="F5" s="96">
        <v>1000</v>
      </c>
      <c r="G5" s="96">
        <v>1000</v>
      </c>
      <c r="H5" s="96">
        <v>1000</v>
      </c>
      <c r="I5" s="96">
        <v>1000</v>
      </c>
      <c r="J5" s="96">
        <v>1000</v>
      </c>
      <c r="K5" s="96">
        <v>1000</v>
      </c>
      <c r="L5" s="96">
        <v>1000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144.59</v>
      </c>
      <c r="C7" s="96">
        <v>104.96</v>
      </c>
      <c r="D7" s="96">
        <v>203.67</v>
      </c>
      <c r="E7" s="96">
        <v>233.78</v>
      </c>
      <c r="F7" s="96">
        <v>230.05</v>
      </c>
      <c r="G7" s="96">
        <v>247.69</v>
      </c>
      <c r="H7" s="96">
        <v>219.01</v>
      </c>
      <c r="I7" s="96">
        <v>171.5</v>
      </c>
      <c r="J7" s="96">
        <v>274.36</v>
      </c>
      <c r="K7" s="96">
        <v>295.55</v>
      </c>
      <c r="L7" s="96">
        <v>275.60000000000002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40</v>
      </c>
      <c r="B12" s="113"/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3">
        <v>3500</v>
      </c>
      <c r="C14" s="98">
        <v>3500</v>
      </c>
      <c r="D14" s="98">
        <v>3500</v>
      </c>
      <c r="E14" s="96">
        <v>3500</v>
      </c>
      <c r="F14" s="96">
        <v>3500</v>
      </c>
      <c r="G14" s="98">
        <v>3500</v>
      </c>
      <c r="H14" s="98">
        <v>3500</v>
      </c>
      <c r="I14" s="98">
        <v>3500</v>
      </c>
      <c r="J14" s="98">
        <v>3500</v>
      </c>
      <c r="K14" s="98">
        <v>3500</v>
      </c>
      <c r="L14" s="98">
        <v>3500</v>
      </c>
      <c r="M14" s="99">
        <v>0</v>
      </c>
    </row>
    <row r="15" spans="1:13" s="15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4582.93</v>
      </c>
      <c r="C19" s="101">
        <f t="shared" ref="C19:M19" si="0">SUM(C5:C18)</f>
        <v>4543.3</v>
      </c>
      <c r="D19" s="101">
        <f t="shared" si="0"/>
        <v>4642.01</v>
      </c>
      <c r="E19" s="101">
        <f t="shared" si="0"/>
        <v>4672.12</v>
      </c>
      <c r="F19" s="101">
        <f t="shared" si="0"/>
        <v>4730.05</v>
      </c>
      <c r="G19" s="101">
        <f t="shared" si="0"/>
        <v>4747.6900000000005</v>
      </c>
      <c r="H19" s="101">
        <f t="shared" si="0"/>
        <v>4719.01</v>
      </c>
      <c r="I19" s="101">
        <f t="shared" si="0"/>
        <v>4671.5</v>
      </c>
      <c r="J19" s="101">
        <f t="shared" si="0"/>
        <v>4774.3600000000006</v>
      </c>
      <c r="K19" s="101">
        <f t="shared" si="0"/>
        <v>4795.55</v>
      </c>
      <c r="L19" s="101">
        <f t="shared" si="0"/>
        <v>4775.6000000000004</v>
      </c>
      <c r="M19" s="101">
        <f t="shared" si="0"/>
        <v>0</v>
      </c>
    </row>
    <row r="20" spans="1:13" ht="15" customHeight="1" thickBot="1">
      <c r="A20" s="70" t="s">
        <v>14</v>
      </c>
      <c r="B20" s="116">
        <v>2.87</v>
      </c>
      <c r="C20" s="98">
        <v>0</v>
      </c>
      <c r="D20" s="98">
        <v>42.01</v>
      </c>
      <c r="E20" s="98">
        <v>72.12</v>
      </c>
      <c r="F20" s="98">
        <v>130.05000000000001</v>
      </c>
      <c r="G20" s="98">
        <v>147.69</v>
      </c>
      <c r="H20" s="98">
        <v>119.01</v>
      </c>
      <c r="I20" s="98">
        <v>71.5</v>
      </c>
      <c r="J20" s="98">
        <v>174.36</v>
      </c>
      <c r="K20" s="98">
        <v>195.55</v>
      </c>
      <c r="L20" s="98">
        <v>175.6</v>
      </c>
      <c r="M20" s="99">
        <v>0</v>
      </c>
    </row>
    <row r="21" spans="1:13" ht="15" customHeight="1" thickBot="1">
      <c r="A21" s="67" t="s">
        <v>15</v>
      </c>
      <c r="B21" s="69">
        <f>B19-B20</f>
        <v>4580.0600000000004</v>
      </c>
      <c r="C21" s="101">
        <f t="shared" ref="C21:M21" si="1">C19-C20</f>
        <v>4543.3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4600.0000000000009</v>
      </c>
      <c r="H21" s="101">
        <f t="shared" si="1"/>
        <v>4600</v>
      </c>
      <c r="I21" s="101">
        <f t="shared" si="1"/>
        <v>4600</v>
      </c>
      <c r="J21" s="101">
        <f t="shared" si="1"/>
        <v>4600.0000000000009</v>
      </c>
      <c r="K21" s="101">
        <f t="shared" si="1"/>
        <v>4600</v>
      </c>
      <c r="L21" s="101">
        <f t="shared" si="1"/>
        <v>4600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4580.0600000000004</v>
      </c>
      <c r="C22" s="111">
        <f>AVERAGE($B$21:C21)</f>
        <v>4561.68</v>
      </c>
      <c r="D22" s="111">
        <f>AVERAGE($B$21:D21)</f>
        <v>4574.4533333333338</v>
      </c>
      <c r="E22" s="111">
        <f>AVERAGE($B$21:E21)</f>
        <v>4580.84</v>
      </c>
      <c r="F22" s="111">
        <f>AVERAGE($B$21:F21)</f>
        <v>4584.6720000000005</v>
      </c>
      <c r="G22" s="111">
        <f>AVERAGE($B$21:G21)</f>
        <v>4587.2266666666665</v>
      </c>
      <c r="H22" s="111">
        <f>AVERAGE($B$21:H21)</f>
        <v>4589.0514285714289</v>
      </c>
      <c r="I22" s="111">
        <f>AVERAGE($B$21:I21)</f>
        <v>4590.42</v>
      </c>
      <c r="J22" s="111">
        <f>AVERAGE($B$21:J21)</f>
        <v>4591.4844444444443</v>
      </c>
      <c r="K22" s="111">
        <f>AVERAGE($B$21:K21)</f>
        <v>4592.3360000000002</v>
      </c>
      <c r="L22" s="111">
        <f>AVERAGE($B$21:L21)</f>
        <v>4593.0327272727272</v>
      </c>
      <c r="M22" s="112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19" sqref="L19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154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s="155" customFormat="1" ht="21.75" thickBot="1">
      <c r="A2" s="177" t="s">
        <v>58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6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155" customFormat="1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5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5" customFormat="1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5" customFormat="1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5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5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112.06</v>
      </c>
      <c r="L10" s="96">
        <v>111.6</v>
      </c>
      <c r="M10" s="97">
        <v>0</v>
      </c>
    </row>
    <row r="11" spans="1:13" s="155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8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7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8" customFormat="1" ht="15" customHeight="1">
      <c r="A14" s="88" t="s">
        <v>29</v>
      </c>
      <c r="B14" s="114">
        <v>2500</v>
      </c>
      <c r="C14" s="98">
        <v>2500</v>
      </c>
      <c r="D14" s="98">
        <v>2500</v>
      </c>
      <c r="E14" s="98">
        <v>2500</v>
      </c>
      <c r="F14" s="96">
        <f t="shared" ref="F14:L14" si="0">2500+1000</f>
        <v>3500</v>
      </c>
      <c r="G14" s="96">
        <f t="shared" si="0"/>
        <v>3500</v>
      </c>
      <c r="H14" s="96">
        <f t="shared" si="0"/>
        <v>3500</v>
      </c>
      <c r="I14" s="96">
        <f t="shared" si="0"/>
        <v>3500</v>
      </c>
      <c r="J14" s="96">
        <f t="shared" si="0"/>
        <v>3500</v>
      </c>
      <c r="K14" s="96">
        <f t="shared" si="0"/>
        <v>3500</v>
      </c>
      <c r="L14" s="96">
        <f t="shared" si="0"/>
        <v>3500</v>
      </c>
      <c r="M14" s="99">
        <v>0</v>
      </c>
    </row>
    <row r="15" spans="1:13" s="157" customFormat="1" ht="15" customHeight="1">
      <c r="A15" s="88" t="s">
        <v>30</v>
      </c>
      <c r="B15" s="115">
        <v>471.6</v>
      </c>
      <c r="C15" s="98">
        <f>212.3+327.65</f>
        <v>539.95000000000005</v>
      </c>
      <c r="D15" s="98">
        <f>123.45+112.6+247.7</f>
        <v>483.75</v>
      </c>
      <c r="E15" s="96">
        <f>205.2+223.1</f>
        <v>428.29999999999995</v>
      </c>
      <c r="F15" s="96">
        <f>205+125.55</f>
        <v>330.55</v>
      </c>
      <c r="G15" s="98">
        <f>273.8+81.9</f>
        <v>355.70000000000005</v>
      </c>
      <c r="H15" s="98">
        <f>198+55.8+26.2</f>
        <v>280</v>
      </c>
      <c r="I15" s="98">
        <f>152.7+246.3+202.9</f>
        <v>601.9</v>
      </c>
      <c r="J15" s="98">
        <v>177.9</v>
      </c>
      <c r="K15" s="98">
        <f>311.6+69.4+15.2</f>
        <v>396.2</v>
      </c>
      <c r="L15" s="98">
        <f>70.9+23.9+22.5+72.05+80.65</f>
        <v>270</v>
      </c>
      <c r="M15" s="99">
        <v>0</v>
      </c>
    </row>
    <row r="16" spans="1:13" s="157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5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5" customFormat="1" ht="15" customHeight="1" thickBot="1">
      <c r="A18" s="90" t="s">
        <v>33</v>
      </c>
      <c r="B18" s="159">
        <v>1610</v>
      </c>
      <c r="C18" s="100">
        <v>1570</v>
      </c>
      <c r="D18" s="100">
        <v>1480</v>
      </c>
      <c r="E18" s="96">
        <v>1600</v>
      </c>
      <c r="F18" s="96">
        <v>710</v>
      </c>
      <c r="G18" s="98">
        <v>750</v>
      </c>
      <c r="H18" s="98">
        <v>830</v>
      </c>
      <c r="I18" s="98">
        <v>500</v>
      </c>
      <c r="J18" s="98">
        <v>890</v>
      </c>
      <c r="K18" s="98">
        <v>540</v>
      </c>
      <c r="L18" s="98">
        <v>710</v>
      </c>
      <c r="M18" s="99">
        <v>0</v>
      </c>
    </row>
    <row r="19" spans="1:13" s="155" customFormat="1" ht="15" customHeight="1" thickBot="1">
      <c r="A19" s="67" t="s">
        <v>34</v>
      </c>
      <c r="B19" s="69">
        <f>SUM(B5:B18)</f>
        <v>4581.6000000000004</v>
      </c>
      <c r="C19" s="101">
        <f t="shared" ref="C19:M19" si="1">SUM(C5:C18)</f>
        <v>4609.95</v>
      </c>
      <c r="D19" s="101">
        <f t="shared" si="1"/>
        <v>4463.75</v>
      </c>
      <c r="E19" s="101">
        <f t="shared" si="1"/>
        <v>4528.3</v>
      </c>
      <c r="F19" s="101">
        <f t="shared" si="1"/>
        <v>4540.55</v>
      </c>
      <c r="G19" s="101">
        <f t="shared" si="1"/>
        <v>4605.7</v>
      </c>
      <c r="H19" s="101">
        <f t="shared" si="1"/>
        <v>4610</v>
      </c>
      <c r="I19" s="101">
        <f t="shared" si="1"/>
        <v>4601.8999999999996</v>
      </c>
      <c r="J19" s="101">
        <f t="shared" si="1"/>
        <v>4567.8999999999996</v>
      </c>
      <c r="K19" s="101">
        <f t="shared" si="1"/>
        <v>4548.26</v>
      </c>
      <c r="L19" s="101">
        <f t="shared" si="1"/>
        <v>4591.6000000000004</v>
      </c>
      <c r="M19" s="101">
        <f t="shared" si="1"/>
        <v>0</v>
      </c>
    </row>
    <row r="20" spans="1:13" s="155" customFormat="1" ht="15" customHeight="1" thickBot="1">
      <c r="A20" s="70" t="s">
        <v>14</v>
      </c>
      <c r="B20" s="116">
        <v>0</v>
      </c>
      <c r="C20" s="98">
        <v>9.9499999999999993</v>
      </c>
      <c r="D20" s="98">
        <v>0</v>
      </c>
      <c r="E20" s="98">
        <v>0</v>
      </c>
      <c r="F20" s="98">
        <v>0</v>
      </c>
      <c r="G20" s="98">
        <v>5.7</v>
      </c>
      <c r="H20" s="98">
        <v>10</v>
      </c>
      <c r="I20" s="98">
        <v>1.9</v>
      </c>
      <c r="J20" s="98">
        <v>0</v>
      </c>
      <c r="K20" s="98">
        <v>2.5099999999999998</v>
      </c>
      <c r="L20" s="98">
        <v>2.37</v>
      </c>
      <c r="M20" s="99">
        <v>0</v>
      </c>
    </row>
    <row r="21" spans="1:13" s="155" customFormat="1" ht="15" customHeight="1" thickBot="1">
      <c r="A21" s="67" t="s">
        <v>15</v>
      </c>
      <c r="B21" s="69">
        <f>B19-B20</f>
        <v>4581.6000000000004</v>
      </c>
      <c r="C21" s="101">
        <f t="shared" ref="C21:M21" si="2">C19-C20</f>
        <v>4600</v>
      </c>
      <c r="D21" s="101">
        <f t="shared" si="2"/>
        <v>4463.75</v>
      </c>
      <c r="E21" s="101">
        <f t="shared" si="2"/>
        <v>4528.3</v>
      </c>
      <c r="F21" s="101">
        <f t="shared" si="2"/>
        <v>4540.55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4567.8999999999996</v>
      </c>
      <c r="K21" s="101">
        <f t="shared" si="2"/>
        <v>4545.75</v>
      </c>
      <c r="L21" s="101">
        <f t="shared" si="2"/>
        <v>4589.2300000000005</v>
      </c>
      <c r="M21" s="101">
        <f t="shared" si="2"/>
        <v>0</v>
      </c>
    </row>
    <row r="22" spans="1:13" s="155" customFormat="1" ht="15" customHeight="1" thickBot="1">
      <c r="A22" s="70" t="s">
        <v>12</v>
      </c>
      <c r="B22" s="117">
        <f>AVERAGE(B21)</f>
        <v>4581.6000000000004</v>
      </c>
      <c r="C22" s="111">
        <f>AVERAGE($B$21:C21)</f>
        <v>4590.8</v>
      </c>
      <c r="D22" s="111">
        <f>AVERAGE($B$21:D21)</f>
        <v>4548.45</v>
      </c>
      <c r="E22" s="111">
        <f>AVERAGE($B$21:E21)</f>
        <v>4543.4125000000004</v>
      </c>
      <c r="F22" s="111">
        <f>AVERAGE($B$21:F21)</f>
        <v>4542.84</v>
      </c>
      <c r="G22" s="111">
        <f>AVERAGE($B$21:G21)</f>
        <v>4552.3666666666668</v>
      </c>
      <c r="H22" s="111">
        <f>AVERAGE($B$21:H21)</f>
        <v>4559.1714285714288</v>
      </c>
      <c r="I22" s="111">
        <f>AVERAGE($B$21:I21)</f>
        <v>4564.2749999999996</v>
      </c>
      <c r="J22" s="111">
        <f>AVERAGE($B$21:J21)</f>
        <v>4564.6777777777779</v>
      </c>
      <c r="K22" s="111">
        <f>AVERAGE($B$21:K21)</f>
        <v>4562.7849999999999</v>
      </c>
      <c r="L22" s="111">
        <f>AVERAGE($B$21:L21)</f>
        <v>4565.1890909090907</v>
      </c>
      <c r="M22" s="112"/>
    </row>
    <row r="23" spans="1:13" s="155" customFormat="1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19" sqref="L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57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58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4000</v>
      </c>
      <c r="C5" s="96">
        <v>4000</v>
      </c>
      <c r="D5" s="96">
        <v>4000</v>
      </c>
      <c r="E5" s="96">
        <v>4000</v>
      </c>
      <c r="F5" s="96">
        <v>4000</v>
      </c>
      <c r="G5" s="96">
        <v>4000</v>
      </c>
      <c r="H5" s="96">
        <v>4000</v>
      </c>
      <c r="I5" s="96">
        <v>4000</v>
      </c>
      <c r="J5" s="96">
        <v>4000</v>
      </c>
      <c r="K5" s="96">
        <v>4200</v>
      </c>
      <c r="L5" s="96">
        <v>4200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524.58000000000004</v>
      </c>
      <c r="C7" s="96">
        <v>555.01</v>
      </c>
      <c r="D7" s="96">
        <v>815.22</v>
      </c>
      <c r="E7" s="96">
        <v>870.36</v>
      </c>
      <c r="F7" s="96">
        <v>818.42</v>
      </c>
      <c r="G7" s="96">
        <v>932.23</v>
      </c>
      <c r="H7" s="96">
        <v>795.14</v>
      </c>
      <c r="I7" s="96">
        <v>624.41999999999996</v>
      </c>
      <c r="J7" s="96">
        <v>710.6</v>
      </c>
      <c r="K7" s="96">
        <v>867.45</v>
      </c>
      <c r="L7" s="96">
        <v>809.95</v>
      </c>
      <c r="M7" s="97">
        <v>0</v>
      </c>
    </row>
    <row r="8" spans="1:13" ht="15" customHeight="1">
      <c r="A8" s="87" t="s">
        <v>23</v>
      </c>
      <c r="B8" s="113">
        <v>239</v>
      </c>
      <c r="C8" s="96">
        <v>123.48</v>
      </c>
      <c r="D8" s="96">
        <v>153.75</v>
      </c>
      <c r="E8" s="96">
        <v>100.96</v>
      </c>
      <c r="F8" s="96">
        <v>51.78</v>
      </c>
      <c r="G8" s="96">
        <v>80.22</v>
      </c>
      <c r="H8" s="96">
        <v>80.22</v>
      </c>
      <c r="I8" s="96">
        <v>89.7</v>
      </c>
      <c r="J8" s="96">
        <v>60.23</v>
      </c>
      <c r="K8" s="96">
        <v>70.33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f>408.43+143.27</f>
        <v>551.70000000000005</v>
      </c>
      <c r="D9" s="96">
        <v>144.69999999999999</v>
      </c>
      <c r="E9" s="96">
        <f>385.32+146.14</f>
        <v>531.46</v>
      </c>
      <c r="F9" s="96">
        <f>408.43+147.57</f>
        <v>556</v>
      </c>
      <c r="G9" s="96">
        <f>385.32+149</f>
        <v>534.31999999999994</v>
      </c>
      <c r="H9" s="96">
        <v>385.32</v>
      </c>
      <c r="I9" s="96">
        <v>385.32</v>
      </c>
      <c r="J9" s="96">
        <v>385.32</v>
      </c>
      <c r="K9" s="96">
        <v>408.43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165.7</v>
      </c>
      <c r="C10" s="96">
        <v>181.83</v>
      </c>
      <c r="D10" s="96">
        <v>0</v>
      </c>
      <c r="E10" s="96">
        <v>198.03</v>
      </c>
      <c r="F10" s="96">
        <v>186.05</v>
      </c>
      <c r="G10" s="96">
        <v>266.14</v>
      </c>
      <c r="H10" s="96">
        <v>181.05</v>
      </c>
      <c r="I10" s="96">
        <v>169.95</v>
      </c>
      <c r="J10" s="96">
        <f>173.82</f>
        <v>173.82</v>
      </c>
      <c r="K10" s="96">
        <v>168.1</v>
      </c>
      <c r="L10" s="96">
        <v>167.01</v>
      </c>
      <c r="M10" s="97">
        <v>0</v>
      </c>
    </row>
    <row r="11" spans="1:13" s="17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03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4929.28</v>
      </c>
      <c r="C19" s="101">
        <f t="shared" ref="C19:M19" si="1">SUM(C5:C18)</f>
        <v>5412.0199999999995</v>
      </c>
      <c r="D19" s="101">
        <f t="shared" si="1"/>
        <v>5113.67</v>
      </c>
      <c r="E19" s="101">
        <f t="shared" si="1"/>
        <v>5700.8099999999995</v>
      </c>
      <c r="F19" s="101">
        <f t="shared" si="1"/>
        <v>5612.25</v>
      </c>
      <c r="G19" s="101">
        <f t="shared" si="1"/>
        <v>5812.91</v>
      </c>
      <c r="H19" s="101">
        <f t="shared" si="1"/>
        <v>5441.7300000000005</v>
      </c>
      <c r="I19" s="101">
        <f t="shared" si="1"/>
        <v>5269.3899999999994</v>
      </c>
      <c r="J19" s="101">
        <f t="shared" si="1"/>
        <v>5329.9699999999993</v>
      </c>
      <c r="K19" s="101">
        <f t="shared" si="1"/>
        <v>5714.31</v>
      </c>
      <c r="L19" s="101">
        <f t="shared" si="1"/>
        <v>5176.96</v>
      </c>
      <c r="M19" s="101">
        <f t="shared" si="1"/>
        <v>0</v>
      </c>
    </row>
    <row r="20" spans="1:13" ht="15" customHeight="1" thickBot="1">
      <c r="A20" s="70" t="s">
        <v>14</v>
      </c>
      <c r="B20" s="116">
        <v>329.28</v>
      </c>
      <c r="C20" s="98">
        <v>812.02</v>
      </c>
      <c r="D20" s="98">
        <v>513.66999999999996</v>
      </c>
      <c r="E20" s="98">
        <v>1100.81</v>
      </c>
      <c r="F20" s="98">
        <v>1012.25</v>
      </c>
      <c r="G20" s="98">
        <v>1212.9100000000001</v>
      </c>
      <c r="H20" s="98">
        <v>841.73</v>
      </c>
      <c r="I20" s="98">
        <v>669.39</v>
      </c>
      <c r="J20" s="98">
        <v>729.97</v>
      </c>
      <c r="K20" s="98">
        <v>1114.31</v>
      </c>
      <c r="L20" s="98">
        <v>576.96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4599.9999999999991</v>
      </c>
      <c r="J21" s="101">
        <f t="shared" si="2"/>
        <v>4599.9999999999991</v>
      </c>
      <c r="K21" s="101">
        <f t="shared" si="2"/>
        <v>4600</v>
      </c>
      <c r="L21" s="101">
        <f t="shared" si="2"/>
        <v>4600</v>
      </c>
      <c r="M21" s="101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>
        <f>AVERAGE($B$21:I21)</f>
        <v>4600</v>
      </c>
      <c r="J22" s="111">
        <f>AVERAGE($B$21:J21)</f>
        <v>4600</v>
      </c>
      <c r="K22" s="111">
        <f>AVERAGE($B$21:K21)</f>
        <v>4600</v>
      </c>
      <c r="L22" s="111">
        <f>AVERAGE($B$21:L21)</f>
        <v>4600</v>
      </c>
      <c r="M22" s="112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59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3200</v>
      </c>
      <c r="C5" s="96">
        <v>3200</v>
      </c>
      <c r="D5" s="96">
        <v>3200</v>
      </c>
      <c r="E5" s="96">
        <v>3200</v>
      </c>
      <c r="F5" s="96">
        <v>3200</v>
      </c>
      <c r="G5" s="96">
        <v>3200</v>
      </c>
      <c r="H5" s="96">
        <v>3200</v>
      </c>
      <c r="I5" s="96">
        <v>3200</v>
      </c>
      <c r="J5" s="96">
        <v>3200</v>
      </c>
      <c r="K5" s="96">
        <v>3200</v>
      </c>
      <c r="L5" s="96">
        <v>3200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1400</v>
      </c>
      <c r="C12" s="98">
        <v>1400</v>
      </c>
      <c r="D12" s="98">
        <v>1400</v>
      </c>
      <c r="E12" s="98">
        <v>1400</v>
      </c>
      <c r="F12" s="98">
        <v>1400</v>
      </c>
      <c r="G12" s="98">
        <v>1400</v>
      </c>
      <c r="H12" s="98">
        <v>1400</v>
      </c>
      <c r="I12" s="98">
        <v>1400</v>
      </c>
      <c r="J12" s="98">
        <v>1400</v>
      </c>
      <c r="K12" s="98">
        <v>1400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1400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4600</v>
      </c>
      <c r="C19" s="101">
        <f t="shared" ref="C19:M19" si="1">SUM(C5:C18)</f>
        <v>4600</v>
      </c>
      <c r="D19" s="101">
        <f t="shared" si="1"/>
        <v>4600</v>
      </c>
      <c r="E19" s="101">
        <f t="shared" si="1"/>
        <v>4600</v>
      </c>
      <c r="F19" s="101">
        <f t="shared" si="1"/>
        <v>4600</v>
      </c>
      <c r="G19" s="101">
        <f t="shared" si="1"/>
        <v>4600</v>
      </c>
      <c r="H19" s="101">
        <f t="shared" si="1"/>
        <v>4600</v>
      </c>
      <c r="I19" s="101">
        <f t="shared" si="1"/>
        <v>4600</v>
      </c>
      <c r="J19" s="101">
        <f t="shared" si="1"/>
        <v>4600</v>
      </c>
      <c r="K19" s="101">
        <f t="shared" si="1"/>
        <v>4600</v>
      </c>
      <c r="L19" s="101">
        <f t="shared" si="1"/>
        <v>4600</v>
      </c>
      <c r="M19" s="101">
        <f t="shared" si="1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4600</v>
      </c>
      <c r="K21" s="101">
        <f t="shared" si="2"/>
        <v>4600</v>
      </c>
      <c r="L21" s="101">
        <f t="shared" si="2"/>
        <v>4600</v>
      </c>
      <c r="M21" s="101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>
        <f>AVERAGE($B$21:I21)</f>
        <v>4600</v>
      </c>
      <c r="J22" s="111">
        <f>AVERAGE($B$21:J21)</f>
        <v>4600</v>
      </c>
      <c r="K22" s="111">
        <f>AVERAGE($B$21:K21)</f>
        <v>4600</v>
      </c>
      <c r="L22" s="111">
        <f>AVERAGE($B$21:L21)</f>
        <v>4600</v>
      </c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K19" sqref="K19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3">
        <v>0</v>
      </c>
      <c r="C12" s="57">
        <v>0</v>
      </c>
      <c r="D12" s="61">
        <v>0</v>
      </c>
      <c r="E12" s="57">
        <v>0</v>
      </c>
      <c r="F12" s="171">
        <v>0</v>
      </c>
      <c r="G12" s="171">
        <v>0</v>
      </c>
      <c r="H12" s="171">
        <v>0</v>
      </c>
      <c r="I12" s="61">
        <v>0</v>
      </c>
      <c r="J12" s="171">
        <v>0</v>
      </c>
      <c r="K12" s="171">
        <v>0</v>
      </c>
      <c r="L12" s="171">
        <v>0</v>
      </c>
      <c r="M12" s="172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17" customFormat="1" ht="15" customHeight="1">
      <c r="A14" s="88" t="s">
        <v>29</v>
      </c>
      <c r="B14" s="113">
        <v>0</v>
      </c>
      <c r="C14" s="57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0</v>
      </c>
      <c r="C19" s="69">
        <f t="shared" ref="C19:J19" si="0">SUM(C5:C18)</f>
        <v>0</v>
      </c>
      <c r="D19" s="69">
        <f t="shared" si="0"/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ref="K19" si="1">SUM(K5:K18)</f>
        <v>0</v>
      </c>
      <c r="L19" s="69">
        <f t="shared" ref="L19:M19" si="2">SUM(L5:L18)</f>
        <v>0</v>
      </c>
      <c r="M19" s="69">
        <f t="shared" si="2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f t="shared" ref="K21:M21" si="3">K19-K20</f>
        <v>0</v>
      </c>
      <c r="L21" s="69">
        <f t="shared" si="3"/>
        <v>0</v>
      </c>
      <c r="M21" s="69">
        <f t="shared" si="3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13" sqref="L1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58" customFormat="1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26">
        <v>3600</v>
      </c>
      <c r="C12" s="98">
        <v>3360</v>
      </c>
      <c r="D12" s="98">
        <v>3720</v>
      </c>
      <c r="E12" s="96">
        <v>4200</v>
      </c>
      <c r="F12" s="98">
        <v>4340</v>
      </c>
      <c r="G12" s="98">
        <v>4200</v>
      </c>
      <c r="H12" s="98">
        <v>4340</v>
      </c>
      <c r="I12" s="98">
        <v>4340</v>
      </c>
      <c r="J12" s="98">
        <v>4200</v>
      </c>
      <c r="K12" s="98">
        <v>4340</v>
      </c>
      <c r="L12" s="98">
        <v>4200</v>
      </c>
      <c r="M12" s="99">
        <v>0</v>
      </c>
    </row>
    <row r="13" spans="1:13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 t="shared" ref="B19" si="0">SUM(B5:B18)</f>
        <v>3600</v>
      </c>
      <c r="C19" s="101">
        <f t="shared" ref="C19:M19" si="1">SUM(C5:C18)</f>
        <v>3360</v>
      </c>
      <c r="D19" s="101">
        <f t="shared" si="1"/>
        <v>3720</v>
      </c>
      <c r="E19" s="101">
        <f t="shared" si="1"/>
        <v>4200</v>
      </c>
      <c r="F19" s="101">
        <f t="shared" si="1"/>
        <v>4340</v>
      </c>
      <c r="G19" s="101">
        <f t="shared" si="1"/>
        <v>4200</v>
      </c>
      <c r="H19" s="101">
        <f t="shared" si="1"/>
        <v>4340</v>
      </c>
      <c r="I19" s="101">
        <f t="shared" si="1"/>
        <v>4340</v>
      </c>
      <c r="J19" s="101">
        <f t="shared" si="1"/>
        <v>4200</v>
      </c>
      <c r="K19" s="101">
        <f t="shared" si="1"/>
        <v>4340</v>
      </c>
      <c r="L19" s="101">
        <f t="shared" si="1"/>
        <v>4200</v>
      </c>
      <c r="M19" s="101">
        <f t="shared" si="1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3600</v>
      </c>
      <c r="C21" s="101">
        <f t="shared" ref="C21:M21" si="2">C19-C20</f>
        <v>3360</v>
      </c>
      <c r="D21" s="101">
        <f t="shared" si="2"/>
        <v>3720</v>
      </c>
      <c r="E21" s="101">
        <f t="shared" si="2"/>
        <v>4200</v>
      </c>
      <c r="F21" s="101">
        <f t="shared" si="2"/>
        <v>4340</v>
      </c>
      <c r="G21" s="101">
        <f t="shared" si="2"/>
        <v>4200</v>
      </c>
      <c r="H21" s="101">
        <f t="shared" si="2"/>
        <v>4340</v>
      </c>
      <c r="I21" s="101">
        <f t="shared" si="2"/>
        <v>4340</v>
      </c>
      <c r="J21" s="101">
        <f t="shared" si="2"/>
        <v>4200</v>
      </c>
      <c r="K21" s="101">
        <f t="shared" si="2"/>
        <v>4340</v>
      </c>
      <c r="L21" s="101">
        <f t="shared" si="2"/>
        <v>4200</v>
      </c>
      <c r="M21" s="101">
        <f t="shared" si="2"/>
        <v>0</v>
      </c>
    </row>
    <row r="22" spans="1:13" s="58" customFormat="1" ht="15" customHeight="1" thickBot="1">
      <c r="A22" s="70" t="s">
        <v>12</v>
      </c>
      <c r="B22" s="117">
        <f>AVERAGE(B21)</f>
        <v>3600</v>
      </c>
      <c r="C22" s="111">
        <f>AVERAGE($B$21:C21)</f>
        <v>3480</v>
      </c>
      <c r="D22" s="111">
        <f>AVERAGE($B$21:D21)</f>
        <v>3560</v>
      </c>
      <c r="E22" s="111">
        <f>AVERAGE($B$21:E21)</f>
        <v>3720</v>
      </c>
      <c r="F22" s="111">
        <f>AVERAGE($B$21:F21)</f>
        <v>3844</v>
      </c>
      <c r="G22" s="111">
        <f>AVERAGE($B$21:G21)</f>
        <v>3903.3333333333335</v>
      </c>
      <c r="H22" s="111">
        <f>AVERAGE($B$21:H21)</f>
        <v>3965.7142857142858</v>
      </c>
      <c r="I22" s="111">
        <f>AVERAGE($B$21:I21)</f>
        <v>4012.5</v>
      </c>
      <c r="J22" s="111">
        <f>AVERAGE($B$21:J21)</f>
        <v>4033.3333333333335</v>
      </c>
      <c r="K22" s="111">
        <f>AVERAGE($B$21:K21)</f>
        <v>4064</v>
      </c>
      <c r="L22" s="111">
        <f>AVERAGE($B$21:L21)</f>
        <v>4076.3636363636365</v>
      </c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L22" sqref="L22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s="5" customFormat="1" ht="21.75" thickBot="1">
      <c r="A2" s="177" t="s">
        <v>44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751.25</v>
      </c>
      <c r="C7" s="96">
        <v>449.69</v>
      </c>
      <c r="D7" s="96">
        <v>596.65</v>
      </c>
      <c r="E7" s="96">
        <v>823.78</v>
      </c>
      <c r="F7" s="96">
        <v>902.65</v>
      </c>
      <c r="G7" s="96">
        <v>1023.32</v>
      </c>
      <c r="H7" s="96">
        <v>627.42999999999995</v>
      </c>
      <c r="I7" s="96">
        <v>612.65</v>
      </c>
      <c r="J7" s="96">
        <v>702.13</v>
      </c>
      <c r="K7" s="96">
        <v>683.13</v>
      </c>
      <c r="L7" s="96">
        <v>947.79</v>
      </c>
      <c r="M7" s="97">
        <v>0</v>
      </c>
    </row>
    <row r="8" spans="1:13" ht="15" customHeight="1">
      <c r="A8" s="87" t="s">
        <v>23</v>
      </c>
      <c r="B8" s="113">
        <v>121.5</v>
      </c>
      <c r="C8" s="96">
        <v>121.5</v>
      </c>
      <c r="D8" s="96">
        <v>121.5</v>
      </c>
      <c r="E8" s="96">
        <v>121.7</v>
      </c>
      <c r="F8" s="96">
        <v>122.5</v>
      </c>
      <c r="G8" s="96">
        <v>122.5</v>
      </c>
      <c r="H8" s="96">
        <v>122.5</v>
      </c>
      <c r="I8" s="96">
        <v>122.5</v>
      </c>
      <c r="J8" s="96">
        <v>130.68</v>
      </c>
      <c r="K8" s="96">
        <v>130.68</v>
      </c>
      <c r="L8" s="96">
        <v>130.68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436.24</v>
      </c>
      <c r="D9" s="96">
        <v>436.24</v>
      </c>
      <c r="E9" s="96">
        <v>436.24</v>
      </c>
      <c r="F9" s="96">
        <v>436.24</v>
      </c>
      <c r="G9" s="96">
        <v>436.24</v>
      </c>
      <c r="H9" s="96">
        <v>436.24</v>
      </c>
      <c r="I9" s="96">
        <f>436.24+125.85</f>
        <v>562.09</v>
      </c>
      <c r="J9" s="96">
        <f>436.24+125.85</f>
        <v>562.09</v>
      </c>
      <c r="K9" s="96">
        <f>436.24+125.85</f>
        <v>562.09</v>
      </c>
      <c r="L9" s="96">
        <f>436.24+125.85</f>
        <v>562.09</v>
      </c>
      <c r="M9" s="97">
        <v>0</v>
      </c>
    </row>
    <row r="10" spans="1:13" ht="15" customHeight="1">
      <c r="A10" s="87" t="s">
        <v>25</v>
      </c>
      <c r="B10" s="113">
        <v>222.08</v>
      </c>
      <c r="C10" s="96">
        <v>223.65</v>
      </c>
      <c r="D10" s="96">
        <v>222.87</v>
      </c>
      <c r="E10" s="96">
        <v>230.51</v>
      </c>
      <c r="F10" s="96">
        <v>224.43</v>
      </c>
      <c r="G10" s="96">
        <v>230.92</v>
      </c>
      <c r="H10" s="96">
        <v>222.72</v>
      </c>
      <c r="I10" s="96">
        <v>233.68</v>
      </c>
      <c r="J10" s="96">
        <v>225.43</v>
      </c>
      <c r="K10" s="96">
        <v>227.18</v>
      </c>
      <c r="L10" s="96">
        <v>227.09</v>
      </c>
      <c r="M10" s="97">
        <v>0</v>
      </c>
    </row>
    <row r="11" spans="1:13" s="9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3515</v>
      </c>
      <c r="L12" s="98">
        <v>5550</v>
      </c>
      <c r="M12" s="99">
        <v>0</v>
      </c>
    </row>
    <row r="13" spans="1:13" s="6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4">
        <v>600.4</v>
      </c>
      <c r="C15" s="98">
        <v>373</v>
      </c>
      <c r="D15" s="98">
        <f>117+480.7</f>
        <v>597.70000000000005</v>
      </c>
      <c r="E15" s="96">
        <v>237</v>
      </c>
      <c r="F15" s="96">
        <v>0</v>
      </c>
      <c r="G15" s="98">
        <f>91+755.7</f>
        <v>846.7</v>
      </c>
      <c r="H15" s="98">
        <v>0</v>
      </c>
      <c r="I15" s="98">
        <f>123+510.05</f>
        <v>633.04999999999995</v>
      </c>
      <c r="J15" s="98">
        <v>190</v>
      </c>
      <c r="K15" s="98">
        <f>125+107.6</f>
        <v>232.6</v>
      </c>
      <c r="L15" s="98">
        <v>156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1695.23</v>
      </c>
      <c r="C19" s="101">
        <f t="shared" ref="C19:M19" si="0">SUM(C5:C18)</f>
        <v>1604.0800000000002</v>
      </c>
      <c r="D19" s="101">
        <f t="shared" si="0"/>
        <v>1974.9599999999998</v>
      </c>
      <c r="E19" s="101">
        <f t="shared" si="0"/>
        <v>1849.23</v>
      </c>
      <c r="F19" s="101">
        <f t="shared" si="0"/>
        <v>1685.8200000000002</v>
      </c>
      <c r="G19" s="101">
        <f t="shared" si="0"/>
        <v>2659.6800000000003</v>
      </c>
      <c r="H19" s="101">
        <f t="shared" si="0"/>
        <v>1408.89</v>
      </c>
      <c r="I19" s="101">
        <f t="shared" si="0"/>
        <v>2163.9700000000003</v>
      </c>
      <c r="J19" s="101">
        <f t="shared" si="0"/>
        <v>1810.3300000000002</v>
      </c>
      <c r="K19" s="101">
        <f t="shared" si="0"/>
        <v>5350.68</v>
      </c>
      <c r="L19" s="101">
        <f t="shared" si="0"/>
        <v>7573.65</v>
      </c>
      <c r="M19" s="101">
        <f t="shared" si="0"/>
        <v>0</v>
      </c>
    </row>
    <row r="20" spans="1:13" ht="15" customHeight="1" thickBot="1">
      <c r="A20" s="70" t="s">
        <v>14</v>
      </c>
      <c r="B20" s="116">
        <v>128</v>
      </c>
      <c r="C20" s="98">
        <v>0</v>
      </c>
      <c r="D20" s="98">
        <v>0</v>
      </c>
      <c r="E20" s="98">
        <v>9.6</v>
      </c>
      <c r="F20" s="98">
        <f>45.25+1.24+1</f>
        <v>47.49</v>
      </c>
      <c r="G20" s="98">
        <v>36.28</v>
      </c>
      <c r="H20" s="98">
        <v>2.25</v>
      </c>
      <c r="I20" s="98">
        <v>56.71</v>
      </c>
      <c r="J20" s="98">
        <v>16.940000000000001</v>
      </c>
      <c r="K20" s="98">
        <v>750.68</v>
      </c>
      <c r="L20" s="98">
        <v>2973.6499999999996</v>
      </c>
      <c r="M20" s="99">
        <v>0</v>
      </c>
    </row>
    <row r="21" spans="1:13" ht="15" customHeight="1" thickBot="1">
      <c r="A21" s="67" t="s">
        <v>15</v>
      </c>
      <c r="B21" s="69">
        <f>B19-B20</f>
        <v>1567.23</v>
      </c>
      <c r="C21" s="101">
        <f t="shared" ref="C21:M21" si="1">C19-C20</f>
        <v>1604.0800000000002</v>
      </c>
      <c r="D21" s="101">
        <f t="shared" si="1"/>
        <v>1974.9599999999998</v>
      </c>
      <c r="E21" s="101">
        <f t="shared" si="1"/>
        <v>1839.63</v>
      </c>
      <c r="F21" s="101">
        <f t="shared" si="1"/>
        <v>1638.3300000000002</v>
      </c>
      <c r="G21" s="101">
        <f t="shared" si="1"/>
        <v>2623.4</v>
      </c>
      <c r="H21" s="101">
        <f t="shared" si="1"/>
        <v>1406.64</v>
      </c>
      <c r="I21" s="101">
        <f t="shared" si="1"/>
        <v>2107.2600000000002</v>
      </c>
      <c r="J21" s="101">
        <f t="shared" si="1"/>
        <v>1793.39</v>
      </c>
      <c r="K21" s="101">
        <f t="shared" si="1"/>
        <v>4600</v>
      </c>
      <c r="L21" s="101">
        <f t="shared" si="1"/>
        <v>4600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1567.23</v>
      </c>
      <c r="C22" s="111">
        <f>AVERAGE($B$21:C21)</f>
        <v>1585.6550000000002</v>
      </c>
      <c r="D22" s="111">
        <f>AVERAGE($B$21:D21)</f>
        <v>1715.4233333333334</v>
      </c>
      <c r="E22" s="111">
        <f>AVERAGE($B$21:E21)</f>
        <v>1746.4750000000001</v>
      </c>
      <c r="F22" s="111">
        <f>AVERAGE($B$21:F21)</f>
        <v>1724.8460000000002</v>
      </c>
      <c r="G22" s="111">
        <f>AVERAGE($B$21:G21)</f>
        <v>1874.6050000000002</v>
      </c>
      <c r="H22" s="111">
        <f>AVERAGE($B$21:H21)</f>
        <v>1807.7528571428572</v>
      </c>
      <c r="I22" s="111">
        <f>AVERAGE($B$21:I21)</f>
        <v>1845.1912500000001</v>
      </c>
      <c r="J22" s="111">
        <f>AVERAGE($B$21:J21)</f>
        <v>1839.4355555555558</v>
      </c>
      <c r="K22" s="111">
        <f>AVERAGE($B$21:K21)</f>
        <v>2115.4920000000002</v>
      </c>
      <c r="L22" s="111">
        <f>AVERAGE($B$21:L21)</f>
        <v>2341.3563636363638</v>
      </c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4753.33</v>
      </c>
      <c r="C12" s="98">
        <v>4293.33</v>
      </c>
      <c r="D12" s="98">
        <v>4753.33</v>
      </c>
      <c r="E12" s="96">
        <v>4600</v>
      </c>
      <c r="F12" s="98">
        <v>4753.33</v>
      </c>
      <c r="G12" s="96">
        <v>4600</v>
      </c>
      <c r="H12" s="98">
        <v>4753.33</v>
      </c>
      <c r="I12" s="98">
        <v>4753.33</v>
      </c>
      <c r="J12" s="98">
        <v>4600</v>
      </c>
      <c r="K12" s="98">
        <v>4753.33</v>
      </c>
      <c r="L12" s="98">
        <v>4600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4753.33</v>
      </c>
      <c r="C19" s="101">
        <f t="shared" ref="C19:M19" si="0">SUM(C5:C18)</f>
        <v>4293.33</v>
      </c>
      <c r="D19" s="101">
        <f t="shared" si="0"/>
        <v>4753.33</v>
      </c>
      <c r="E19" s="101">
        <f t="shared" si="0"/>
        <v>4600</v>
      </c>
      <c r="F19" s="101">
        <f t="shared" si="0"/>
        <v>4753.33</v>
      </c>
      <c r="G19" s="101">
        <f t="shared" si="0"/>
        <v>4600</v>
      </c>
      <c r="H19" s="101">
        <f t="shared" si="0"/>
        <v>4753.33</v>
      </c>
      <c r="I19" s="101">
        <f t="shared" si="0"/>
        <v>4753.33</v>
      </c>
      <c r="J19" s="101">
        <f t="shared" si="0"/>
        <v>4600</v>
      </c>
      <c r="K19" s="101">
        <f t="shared" si="0"/>
        <v>4753.33</v>
      </c>
      <c r="L19" s="101">
        <f t="shared" si="0"/>
        <v>4600</v>
      </c>
      <c r="M19" s="101">
        <f t="shared" si="0"/>
        <v>0</v>
      </c>
    </row>
    <row r="20" spans="1:13" ht="15" customHeight="1" thickBot="1">
      <c r="A20" s="70" t="s">
        <v>14</v>
      </c>
      <c r="B20" s="116">
        <v>153.33000000000001</v>
      </c>
      <c r="C20" s="98">
        <v>0</v>
      </c>
      <c r="D20" s="98">
        <v>153.33000000000001</v>
      </c>
      <c r="E20" s="98">
        <v>0</v>
      </c>
      <c r="F20" s="98">
        <v>153.33000000000001</v>
      </c>
      <c r="G20" s="98">
        <v>0</v>
      </c>
      <c r="H20" s="98">
        <v>153.33000000000001</v>
      </c>
      <c r="I20" s="98">
        <v>153.33000000000001</v>
      </c>
      <c r="J20" s="98">
        <v>0</v>
      </c>
      <c r="K20" s="98">
        <v>153.33000000000001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4293.33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</v>
      </c>
      <c r="H21" s="101">
        <f t="shared" si="1"/>
        <v>4600</v>
      </c>
      <c r="I21" s="101">
        <f t="shared" si="1"/>
        <v>4600</v>
      </c>
      <c r="J21" s="101">
        <f t="shared" si="1"/>
        <v>4600</v>
      </c>
      <c r="K21" s="101">
        <f t="shared" si="1"/>
        <v>4600</v>
      </c>
      <c r="L21" s="101">
        <f t="shared" si="1"/>
        <v>4600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4446.665</v>
      </c>
      <c r="D22" s="111">
        <f>AVERAGE($B$21:D21)</f>
        <v>4497.7766666666666</v>
      </c>
      <c r="E22" s="111">
        <f>AVERAGE($B$21:E21)</f>
        <v>4523.3325000000004</v>
      </c>
      <c r="F22" s="111">
        <f>AVERAGE($B$21:F21)</f>
        <v>4538.6660000000002</v>
      </c>
      <c r="G22" s="111">
        <f>AVERAGE($B$21:G21)</f>
        <v>4548.8883333333333</v>
      </c>
      <c r="H22" s="111">
        <f>AVERAGE($B$21:H21)</f>
        <v>4556.1900000000005</v>
      </c>
      <c r="I22" s="111">
        <f>AVERAGE($B$21:I21)</f>
        <v>4561.6662500000002</v>
      </c>
      <c r="J22" s="111">
        <f>AVERAGE($B$21:J21)</f>
        <v>4565.9255555555555</v>
      </c>
      <c r="K22" s="111">
        <f>AVERAGE($B$21:K21)</f>
        <v>4569.3330000000005</v>
      </c>
      <c r="L22" s="111">
        <f>AVERAGE($B$21:L21)</f>
        <v>4572.1209090909097</v>
      </c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4" ht="21.75" thickBot="1">
      <c r="A2" s="177" t="s">
        <v>81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4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4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4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>
      <c r="A6" s="87" t="s">
        <v>21</v>
      </c>
      <c r="B6" s="11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26">
        <v>2550</v>
      </c>
      <c r="C12" s="61">
        <v>4396</v>
      </c>
      <c r="D12" s="61">
        <v>4553</v>
      </c>
      <c r="E12" s="57">
        <v>4480</v>
      </c>
      <c r="F12" s="61">
        <v>0</v>
      </c>
      <c r="G12" s="57">
        <v>4480</v>
      </c>
      <c r="H12" s="61">
        <v>2380</v>
      </c>
      <c r="I12" s="61">
        <v>2380</v>
      </c>
      <c r="J12" s="61">
        <v>2380</v>
      </c>
      <c r="K12" s="61">
        <v>2380</v>
      </c>
      <c r="L12" s="61">
        <f>85*30</f>
        <v>2550</v>
      </c>
      <c r="M12" s="95">
        <v>0</v>
      </c>
      <c r="N12" s="20"/>
    </row>
    <row r="13" spans="1:14" s="15" customFormat="1" ht="15" customHeight="1">
      <c r="A13" s="88" t="s">
        <v>28</v>
      </c>
      <c r="B13" s="126">
        <v>0</v>
      </c>
      <c r="C13" s="61">
        <v>0</v>
      </c>
      <c r="D13" s="61">
        <v>0</v>
      </c>
      <c r="E13" s="57">
        <v>0</v>
      </c>
      <c r="F13" s="57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95">
        <v>0</v>
      </c>
    </row>
    <row r="14" spans="1:14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95">
        <v>0</v>
      </c>
    </row>
    <row r="15" spans="1:14" s="15" customFormat="1" ht="15" customHeight="1">
      <c r="A15" s="88" t="s">
        <v>30</v>
      </c>
      <c r="B15" s="126">
        <v>3000</v>
      </c>
      <c r="C15" s="61">
        <v>0</v>
      </c>
      <c r="D15" s="61">
        <v>0</v>
      </c>
      <c r="E15" s="57">
        <v>0</v>
      </c>
      <c r="F15" s="57">
        <v>3380.3</v>
      </c>
      <c r="G15" s="61">
        <v>0</v>
      </c>
      <c r="H15" s="61">
        <v>1387</v>
      </c>
      <c r="I15" s="61">
        <v>0</v>
      </c>
      <c r="J15" s="61">
        <v>1457</v>
      </c>
      <c r="K15" s="61">
        <v>0</v>
      </c>
      <c r="L15" s="61">
        <v>1807</v>
      </c>
      <c r="M15" s="95">
        <v>0</v>
      </c>
    </row>
    <row r="16" spans="1:14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95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95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1800</v>
      </c>
      <c r="G18" s="61">
        <v>0</v>
      </c>
      <c r="H18" s="61">
        <v>0</v>
      </c>
      <c r="I18" s="61">
        <v>2950</v>
      </c>
      <c r="J18" s="61">
        <v>0</v>
      </c>
      <c r="K18" s="61">
        <v>2170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5550</v>
      </c>
      <c r="C19" s="69">
        <f t="shared" ref="C19:M19" si="1">SUM(C5:C18)</f>
        <v>4396</v>
      </c>
      <c r="D19" s="69">
        <f t="shared" si="1"/>
        <v>4553</v>
      </c>
      <c r="E19" s="69">
        <f t="shared" si="1"/>
        <v>4480</v>
      </c>
      <c r="F19" s="69">
        <f t="shared" si="1"/>
        <v>5180.3</v>
      </c>
      <c r="G19" s="69">
        <f t="shared" si="1"/>
        <v>4480</v>
      </c>
      <c r="H19" s="69">
        <f t="shared" si="1"/>
        <v>3767</v>
      </c>
      <c r="I19" s="69">
        <f t="shared" si="1"/>
        <v>5330</v>
      </c>
      <c r="J19" s="69">
        <f t="shared" si="1"/>
        <v>3837</v>
      </c>
      <c r="K19" s="69">
        <f t="shared" si="1"/>
        <v>4550</v>
      </c>
      <c r="L19" s="69">
        <f t="shared" si="1"/>
        <v>4357</v>
      </c>
      <c r="M19" s="69">
        <f t="shared" si="1"/>
        <v>0</v>
      </c>
    </row>
    <row r="20" spans="1:13" ht="15" customHeight="1" thickBot="1">
      <c r="A20" s="70" t="s">
        <v>14</v>
      </c>
      <c r="B20" s="122">
        <v>950</v>
      </c>
      <c r="C20" s="61">
        <v>0</v>
      </c>
      <c r="D20" s="61">
        <v>0</v>
      </c>
      <c r="E20" s="61">
        <v>0</v>
      </c>
      <c r="F20" s="61">
        <v>580.29999999999995</v>
      </c>
      <c r="G20" s="61">
        <v>0</v>
      </c>
      <c r="H20" s="61">
        <v>0</v>
      </c>
      <c r="I20" s="61">
        <v>730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4600</v>
      </c>
      <c r="C21" s="69">
        <f t="shared" ref="C21:M21" si="2">C19-C20</f>
        <v>4396</v>
      </c>
      <c r="D21" s="69">
        <f t="shared" si="2"/>
        <v>4553</v>
      </c>
      <c r="E21" s="69">
        <f t="shared" si="2"/>
        <v>4480</v>
      </c>
      <c r="F21" s="69">
        <f t="shared" si="2"/>
        <v>4600</v>
      </c>
      <c r="G21" s="69">
        <f t="shared" si="2"/>
        <v>4480</v>
      </c>
      <c r="H21" s="69">
        <f t="shared" si="2"/>
        <v>3767</v>
      </c>
      <c r="I21" s="69">
        <f t="shared" si="2"/>
        <v>4600</v>
      </c>
      <c r="J21" s="69">
        <f t="shared" si="2"/>
        <v>3837</v>
      </c>
      <c r="K21" s="69">
        <f t="shared" si="2"/>
        <v>4550</v>
      </c>
      <c r="L21" s="69">
        <f t="shared" si="2"/>
        <v>4357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4498</v>
      </c>
      <c r="D22" s="77">
        <f>AVERAGE($B$21:D21)</f>
        <v>4516.333333333333</v>
      </c>
      <c r="E22" s="77">
        <f>AVERAGE($B$21:E21)</f>
        <v>4507.25</v>
      </c>
      <c r="F22" s="77">
        <f>AVERAGE($B$21:F21)</f>
        <v>4525.8</v>
      </c>
      <c r="G22" s="77">
        <f>AVERAGE($B$21:G21)</f>
        <v>4518.166666666667</v>
      </c>
      <c r="H22" s="77">
        <f>AVERAGE($B$21:H21)</f>
        <v>4410.8571428571431</v>
      </c>
      <c r="I22" s="77">
        <f>AVERAGE($B$21:I21)</f>
        <v>4434.5</v>
      </c>
      <c r="J22" s="77">
        <f>AVERAGE($B$21:J21)</f>
        <v>4368.1111111111113</v>
      </c>
      <c r="K22" s="77">
        <f>AVERAGE($B$21:K21)</f>
        <v>4386.3</v>
      </c>
      <c r="L22" s="77">
        <f>AVERAGE($B$21:L21)</f>
        <v>4383.636363636364</v>
      </c>
      <c r="M22" s="78"/>
    </row>
    <row r="23" spans="1:13" ht="15" customHeight="1" thickBot="1">
      <c r="A23" s="91" t="s">
        <v>13</v>
      </c>
      <c r="B23" s="125"/>
      <c r="C23" s="146"/>
      <c r="D23" s="146"/>
      <c r="E23" s="146"/>
      <c r="F23" s="146"/>
      <c r="G23" s="146"/>
      <c r="H23" s="146"/>
      <c r="I23" s="147"/>
      <c r="J23" s="146"/>
      <c r="K23" s="146"/>
      <c r="L23" s="146"/>
      <c r="M23" s="148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86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2300</v>
      </c>
      <c r="F5" s="57">
        <v>2300</v>
      </c>
      <c r="G5" s="57">
        <v>2300</v>
      </c>
      <c r="H5" s="57">
        <v>2300</v>
      </c>
      <c r="I5" s="57">
        <v>2300</v>
      </c>
      <c r="J5" s="57">
        <v>2300</v>
      </c>
      <c r="K5" s="57">
        <v>2300</v>
      </c>
      <c r="L5" s="57">
        <v>2300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f>2380+2380</f>
        <v>4760</v>
      </c>
      <c r="D12" s="61">
        <v>5100</v>
      </c>
      <c r="E12" s="57">
        <v>2550</v>
      </c>
      <c r="F12" s="57">
        <v>2550</v>
      </c>
      <c r="G12" s="57">
        <v>2550</v>
      </c>
      <c r="H12" s="57">
        <v>2550</v>
      </c>
      <c r="I12" s="57">
        <v>2550</v>
      </c>
      <c r="J12" s="57">
        <v>2550</v>
      </c>
      <c r="K12" s="57">
        <v>2550</v>
      </c>
      <c r="L12" s="57">
        <v>2550</v>
      </c>
      <c r="M12" s="172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4760</v>
      </c>
      <c r="D19" s="69">
        <f t="shared" ref="D19:M19" si="0">SUM(D5:D18)</f>
        <v>5100</v>
      </c>
      <c r="E19" s="69">
        <f t="shared" si="0"/>
        <v>4850</v>
      </c>
      <c r="F19" s="69">
        <f t="shared" si="0"/>
        <v>4850</v>
      </c>
      <c r="G19" s="69">
        <f t="shared" si="0"/>
        <v>4850</v>
      </c>
      <c r="H19" s="69">
        <f t="shared" si="0"/>
        <v>4850</v>
      </c>
      <c r="I19" s="69">
        <f t="shared" si="0"/>
        <v>4850</v>
      </c>
      <c r="J19" s="69">
        <f t="shared" si="0"/>
        <v>4850</v>
      </c>
      <c r="K19" s="69">
        <f t="shared" si="0"/>
        <v>4850</v>
      </c>
      <c r="L19" s="69">
        <f t="shared" si="0"/>
        <v>4850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160</v>
      </c>
      <c r="D20" s="61">
        <v>500</v>
      </c>
      <c r="E20" s="61">
        <v>250</v>
      </c>
      <c r="F20" s="61">
        <v>250</v>
      </c>
      <c r="G20" s="61">
        <v>250</v>
      </c>
      <c r="H20" s="61">
        <v>250</v>
      </c>
      <c r="I20" s="61">
        <v>250</v>
      </c>
      <c r="J20" s="61">
        <v>250</v>
      </c>
      <c r="K20" s="61">
        <v>250</v>
      </c>
      <c r="L20" s="61">
        <v>250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4600</v>
      </c>
      <c r="L21" s="69">
        <f t="shared" si="1"/>
        <v>4600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>
        <f>AVERAGE($C$21:F21)</f>
        <v>4600</v>
      </c>
      <c r="G22" s="77">
        <f>AVERAGE($C$21:G21)</f>
        <v>4600</v>
      </c>
      <c r="H22" s="77">
        <f>AVERAGE($C$21:H21)</f>
        <v>4600</v>
      </c>
      <c r="I22" s="77">
        <f>AVERAGE($C$21:I21)</f>
        <v>4600</v>
      </c>
      <c r="J22" s="77">
        <f>AVERAGE($C$21:J21)</f>
        <v>4600</v>
      </c>
      <c r="K22" s="77">
        <f>AVERAGE($C$21:K21)</f>
        <v>4600</v>
      </c>
      <c r="L22" s="77">
        <f>AVERAGE($C$21:L21)</f>
        <v>4600</v>
      </c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19" sqref="L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6200</v>
      </c>
      <c r="C12" s="61">
        <v>5600</v>
      </c>
      <c r="D12" s="61">
        <v>6200</v>
      </c>
      <c r="E12" s="57">
        <v>6000</v>
      </c>
      <c r="F12" s="171">
        <v>4650</v>
      </c>
      <c r="G12" s="171">
        <v>4500</v>
      </c>
      <c r="H12" s="171">
        <v>4650</v>
      </c>
      <c r="I12" s="171">
        <v>4650</v>
      </c>
      <c r="J12" s="171">
        <v>4500</v>
      </c>
      <c r="K12" s="171">
        <v>4650</v>
      </c>
      <c r="L12" s="171">
        <v>4500</v>
      </c>
      <c r="M12" s="172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15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6200</v>
      </c>
      <c r="C19" s="69">
        <f>SUM(C5:C18)</f>
        <v>5600</v>
      </c>
      <c r="D19" s="69">
        <f t="shared" ref="D19:M19" si="1">SUM(D5:D18)</f>
        <v>6200</v>
      </c>
      <c r="E19" s="69">
        <f t="shared" si="1"/>
        <v>6000</v>
      </c>
      <c r="F19" s="69">
        <f t="shared" si="1"/>
        <v>4650</v>
      </c>
      <c r="G19" s="69">
        <f t="shared" si="1"/>
        <v>4500</v>
      </c>
      <c r="H19" s="69">
        <f t="shared" si="1"/>
        <v>4650</v>
      </c>
      <c r="I19" s="69">
        <f t="shared" si="1"/>
        <v>4650</v>
      </c>
      <c r="J19" s="69">
        <f t="shared" si="1"/>
        <v>4500</v>
      </c>
      <c r="K19" s="69">
        <f t="shared" si="1"/>
        <v>4650</v>
      </c>
      <c r="L19" s="69">
        <f t="shared" si="1"/>
        <v>4500</v>
      </c>
      <c r="M19" s="69">
        <f t="shared" si="1"/>
        <v>0</v>
      </c>
    </row>
    <row r="20" spans="1:13" ht="15" customHeight="1" thickBot="1">
      <c r="A20" s="70" t="s">
        <v>14</v>
      </c>
      <c r="B20" s="116">
        <v>1600</v>
      </c>
      <c r="C20" s="61">
        <v>1000</v>
      </c>
      <c r="D20" s="61">
        <v>1600</v>
      </c>
      <c r="E20" s="61">
        <v>1400</v>
      </c>
      <c r="F20" s="61">
        <v>50</v>
      </c>
      <c r="G20" s="61">
        <v>0</v>
      </c>
      <c r="H20" s="61">
        <v>50</v>
      </c>
      <c r="I20" s="61">
        <v>50</v>
      </c>
      <c r="J20" s="61">
        <v>0</v>
      </c>
      <c r="K20" s="61">
        <v>50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2">D19-D20</f>
        <v>4600</v>
      </c>
      <c r="E21" s="69">
        <f t="shared" si="2"/>
        <v>4600</v>
      </c>
      <c r="F21" s="69">
        <f t="shared" si="2"/>
        <v>4600</v>
      </c>
      <c r="G21" s="69">
        <f t="shared" si="2"/>
        <v>4500</v>
      </c>
      <c r="H21" s="69">
        <f t="shared" si="2"/>
        <v>4600</v>
      </c>
      <c r="I21" s="69">
        <f t="shared" si="2"/>
        <v>4600</v>
      </c>
      <c r="J21" s="69">
        <f t="shared" si="2"/>
        <v>4500</v>
      </c>
      <c r="K21" s="69">
        <f t="shared" si="2"/>
        <v>4600</v>
      </c>
      <c r="L21" s="69">
        <f t="shared" si="2"/>
        <v>4500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>
        <f>AVERAGE($B$21:F21)</f>
        <v>4600</v>
      </c>
      <c r="G22" s="77">
        <f>AVERAGE($B$21:G21)</f>
        <v>4583.333333333333</v>
      </c>
      <c r="H22" s="77">
        <f>AVERAGE($B$21:H21)</f>
        <v>4585.7142857142853</v>
      </c>
      <c r="I22" s="77">
        <f>AVERAGE($B$21:I21)</f>
        <v>4587.5</v>
      </c>
      <c r="J22" s="77">
        <f>AVERAGE($B$21:J21)</f>
        <v>4577.7777777777774</v>
      </c>
      <c r="K22" s="77">
        <f>AVERAGE($B$21:K21)</f>
        <v>4580</v>
      </c>
      <c r="L22" s="77">
        <f>AVERAGE($B$21:L21)</f>
        <v>4572.727272727273</v>
      </c>
      <c r="M22" s="78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L19" sqref="L19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4" ht="21.75" thickBot="1">
      <c r="A2" s="177" t="s">
        <v>64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4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4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4" ht="15" customHeight="1">
      <c r="A5" s="86" t="s">
        <v>20</v>
      </c>
      <c r="B5" s="113">
        <v>1655.79</v>
      </c>
      <c r="C5" s="57">
        <f>1500+3.9</f>
        <v>1503.9</v>
      </c>
      <c r="D5" s="57">
        <v>1503.9</v>
      </c>
      <c r="E5" s="57">
        <f>1614.3+264+3.9</f>
        <v>1882.2</v>
      </c>
      <c r="F5" s="57">
        <f t="shared" ref="F5:L5" si="0">1614.3+3.9</f>
        <v>1618.2</v>
      </c>
      <c r="G5" s="57">
        <f t="shared" si="0"/>
        <v>1618.2</v>
      </c>
      <c r="H5" s="57">
        <f t="shared" si="0"/>
        <v>1618.2</v>
      </c>
      <c r="I5" s="57">
        <f t="shared" si="0"/>
        <v>1618.2</v>
      </c>
      <c r="J5" s="57">
        <f t="shared" si="0"/>
        <v>1618.2</v>
      </c>
      <c r="K5" s="57">
        <f t="shared" si="0"/>
        <v>1618.2</v>
      </c>
      <c r="L5" s="57">
        <f t="shared" si="0"/>
        <v>1618.2</v>
      </c>
      <c r="M5" s="94">
        <v>0</v>
      </c>
    </row>
    <row r="6" spans="1:14" ht="15" customHeight="1">
      <c r="A6" s="87" t="s">
        <v>21</v>
      </c>
      <c r="B6" s="113">
        <v>482.3</v>
      </c>
      <c r="C6" s="57">
        <v>477.48</v>
      </c>
      <c r="D6" s="57">
        <v>477.48</v>
      </c>
      <c r="E6" s="57">
        <v>477.48</v>
      </c>
      <c r="F6" s="57">
        <v>477.48</v>
      </c>
      <c r="G6" s="57">
        <v>477.48</v>
      </c>
      <c r="H6" s="57">
        <v>477.48</v>
      </c>
      <c r="I6" s="57">
        <v>477.48</v>
      </c>
      <c r="J6" s="57">
        <v>477.48</v>
      </c>
      <c r="K6" s="57">
        <v>477.48</v>
      </c>
      <c r="L6" s="57">
        <v>477.48</v>
      </c>
      <c r="M6" s="94">
        <v>0</v>
      </c>
    </row>
    <row r="7" spans="1:14" ht="15" customHeight="1">
      <c r="A7" s="87" t="s">
        <v>22</v>
      </c>
      <c r="B7" s="113">
        <v>540.49</v>
      </c>
      <c r="C7" s="57">
        <f>348.67+250.49</f>
        <v>599.16000000000008</v>
      </c>
      <c r="D7" s="57">
        <v>442.35</v>
      </c>
      <c r="E7" s="57">
        <v>484.93</v>
      </c>
      <c r="F7" s="57">
        <v>440.52</v>
      </c>
      <c r="G7" s="57">
        <v>463.37</v>
      </c>
      <c r="H7" s="57">
        <v>369.96</v>
      </c>
      <c r="I7" s="57">
        <v>224.45</v>
      </c>
      <c r="J7" s="57">
        <v>408.34</v>
      </c>
      <c r="K7" s="57">
        <v>407.75</v>
      </c>
      <c r="L7" s="57">
        <v>415.75</v>
      </c>
      <c r="M7" s="94">
        <v>0</v>
      </c>
    </row>
    <row r="8" spans="1:14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3">
        <v>0</v>
      </c>
      <c r="C9" s="57">
        <v>86.2</v>
      </c>
      <c r="D9" s="57">
        <v>86.2</v>
      </c>
      <c r="E9" s="57">
        <v>86.2</v>
      </c>
      <c r="F9" s="57">
        <v>86.2</v>
      </c>
      <c r="G9" s="57">
        <v>86.2</v>
      </c>
      <c r="H9" s="57">
        <v>86.2</v>
      </c>
      <c r="I9" s="57">
        <f>86.2+30.4</f>
        <v>116.6</v>
      </c>
      <c r="J9" s="57">
        <f>86.2+30.4</f>
        <v>116.6</v>
      </c>
      <c r="K9" s="57">
        <f>86.2+30.4</f>
        <v>116.6</v>
      </c>
      <c r="L9" s="57">
        <f>86.2+30.4</f>
        <v>116.6</v>
      </c>
      <c r="M9" s="94">
        <v>0</v>
      </c>
    </row>
    <row r="10" spans="1:14" ht="15" customHeight="1">
      <c r="A10" s="87" t="s">
        <v>25</v>
      </c>
      <c r="B10" s="113">
        <v>1305.94</v>
      </c>
      <c r="C10" s="57">
        <f>425+286.52+234.66+348.8</f>
        <v>1294.98</v>
      </c>
      <c r="D10" s="57">
        <f>425+259.79+229.99+389.9</f>
        <v>1304.6799999999998</v>
      </c>
      <c r="E10" s="57">
        <f>425+259.79+229.99+384.17</f>
        <v>1298.95</v>
      </c>
      <c r="F10" s="57">
        <f>425+229.99+259.79+357.35</f>
        <v>1272.1300000000001</v>
      </c>
      <c r="G10" s="57">
        <f>425+229.99+267.38+359.26</f>
        <v>1281.6300000000001</v>
      </c>
      <c r="H10" s="57">
        <f>404.42+425+229.99+266.37+404.42</f>
        <v>1730.2000000000003</v>
      </c>
      <c r="I10" s="57">
        <f>425+229.99+246.89+17.63</f>
        <v>919.51</v>
      </c>
      <c r="J10" s="57">
        <f>425+266.89+249.99+428.72</f>
        <v>1370.6</v>
      </c>
      <c r="K10" s="57">
        <f>425+266.89+249.99+390.04</f>
        <v>1331.92</v>
      </c>
      <c r="L10" s="57">
        <f>392.02+425+266.89+249.99</f>
        <v>1333.8999999999999</v>
      </c>
      <c r="M10" s="94">
        <v>0</v>
      </c>
    </row>
    <row r="11" spans="1:14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1">
        <v>0</v>
      </c>
      <c r="G12" s="171">
        <v>0</v>
      </c>
      <c r="H12" s="171">
        <v>0</v>
      </c>
      <c r="I12" s="61">
        <v>0</v>
      </c>
      <c r="J12" s="171">
        <v>0</v>
      </c>
      <c r="K12" s="171">
        <v>0</v>
      </c>
      <c r="L12" s="171">
        <v>0</v>
      </c>
      <c r="M12" s="172">
        <v>0</v>
      </c>
    </row>
    <row r="13" spans="1:14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189.3</v>
      </c>
      <c r="L13" s="171">
        <v>0</v>
      </c>
      <c r="M13" s="172">
        <v>0</v>
      </c>
    </row>
    <row r="14" spans="1:14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4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171">
        <v>74.7</v>
      </c>
      <c r="M15" s="95">
        <v>0</v>
      </c>
    </row>
    <row r="16" spans="1:14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  <c r="N16" s="6"/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88" t="s">
        <v>33</v>
      </c>
      <c r="B18" s="114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1">SUM(B5:B18)</f>
        <v>3984.52</v>
      </c>
      <c r="C19" s="69">
        <f>SUM(C5:C18)</f>
        <v>3961.72</v>
      </c>
      <c r="D19" s="69">
        <f t="shared" ref="D19:M19" si="2">SUM(D5:D18)</f>
        <v>3814.6099999999997</v>
      </c>
      <c r="E19" s="69">
        <f t="shared" si="2"/>
        <v>4229.76</v>
      </c>
      <c r="F19" s="69">
        <f t="shared" si="2"/>
        <v>3894.53</v>
      </c>
      <c r="G19" s="69">
        <f t="shared" si="2"/>
        <v>3926.88</v>
      </c>
      <c r="H19" s="69">
        <f t="shared" si="2"/>
        <v>4282.0400000000009</v>
      </c>
      <c r="I19" s="69">
        <f t="shared" si="2"/>
        <v>3356.24</v>
      </c>
      <c r="J19" s="69">
        <f t="shared" si="2"/>
        <v>3991.2200000000003</v>
      </c>
      <c r="K19" s="69">
        <f t="shared" si="2"/>
        <v>4141.25</v>
      </c>
      <c r="L19" s="69">
        <f t="shared" si="2"/>
        <v>4036.63</v>
      </c>
      <c r="M19" s="69">
        <f t="shared" si="2"/>
        <v>0</v>
      </c>
    </row>
    <row r="20" spans="1:13" ht="15" customHeight="1" thickBot="1">
      <c r="A20" s="70" t="s">
        <v>14</v>
      </c>
      <c r="B20" s="116">
        <v>156.71</v>
      </c>
      <c r="C20" s="61">
        <v>10.09</v>
      </c>
      <c r="D20" s="61">
        <v>5.52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3827.81</v>
      </c>
      <c r="C21" s="69">
        <f>C19-C20</f>
        <v>3951.6299999999997</v>
      </c>
      <c r="D21" s="69">
        <f t="shared" ref="D21:M21" si="3">D19-D20</f>
        <v>3809.0899999999997</v>
      </c>
      <c r="E21" s="69">
        <f t="shared" si="3"/>
        <v>4229.76</v>
      </c>
      <c r="F21" s="69">
        <f t="shared" si="3"/>
        <v>3894.53</v>
      </c>
      <c r="G21" s="69">
        <f t="shared" si="3"/>
        <v>3926.88</v>
      </c>
      <c r="H21" s="69">
        <f t="shared" si="3"/>
        <v>4282.0400000000009</v>
      </c>
      <c r="I21" s="69">
        <f t="shared" si="3"/>
        <v>3356.24</v>
      </c>
      <c r="J21" s="69">
        <f t="shared" si="3"/>
        <v>3991.2200000000003</v>
      </c>
      <c r="K21" s="69">
        <f t="shared" si="3"/>
        <v>4141.25</v>
      </c>
      <c r="L21" s="69">
        <f t="shared" si="3"/>
        <v>4036.63</v>
      </c>
      <c r="M21" s="69">
        <f t="shared" si="3"/>
        <v>0</v>
      </c>
    </row>
    <row r="22" spans="1:13" ht="15" customHeight="1" thickBot="1">
      <c r="A22" s="70" t="s">
        <v>12</v>
      </c>
      <c r="B22" s="117">
        <f>AVERAGE(A21:B21)</f>
        <v>3827.81</v>
      </c>
      <c r="C22" s="77">
        <f>AVERAGE($B$21:C21)</f>
        <v>3889.72</v>
      </c>
      <c r="D22" s="77">
        <f>AVERAGE($B$21:D21)</f>
        <v>3862.8433333333328</v>
      </c>
      <c r="E22" s="77">
        <f>AVERAGE($B$21:E21)</f>
        <v>3954.5724999999998</v>
      </c>
      <c r="F22" s="77">
        <f>AVERAGE($B$21:F21)</f>
        <v>3942.5639999999999</v>
      </c>
      <c r="G22" s="77">
        <f>AVERAGE($B$21:G21)</f>
        <v>3939.9500000000003</v>
      </c>
      <c r="H22" s="77">
        <f>AVERAGE($B$21:H21)</f>
        <v>3988.82</v>
      </c>
      <c r="I22" s="77">
        <f>AVERAGE($B$21:I21)</f>
        <v>3909.7475000000004</v>
      </c>
      <c r="J22" s="77">
        <f>AVERAGE($B$21:J21)</f>
        <v>3918.8000000000006</v>
      </c>
      <c r="K22" s="77">
        <f>AVERAGE($B$21:K21)</f>
        <v>3941.0450000000005</v>
      </c>
      <c r="L22" s="77">
        <f>AVERAGE($B$21:L21)</f>
        <v>3949.7345454545457</v>
      </c>
      <c r="M22" s="78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9" t="s">
        <v>17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26">
        <v>1950</v>
      </c>
      <c r="C12" s="61">
        <v>1820</v>
      </c>
      <c r="D12" s="61">
        <v>1950</v>
      </c>
      <c r="E12" s="61">
        <v>1950</v>
      </c>
      <c r="F12" s="61">
        <v>1950</v>
      </c>
      <c r="G12" s="61">
        <v>1950</v>
      </c>
      <c r="H12" s="61">
        <v>1950</v>
      </c>
      <c r="I12" s="61">
        <v>1950</v>
      </c>
      <c r="J12" s="61">
        <v>1950</v>
      </c>
      <c r="K12" s="61">
        <v>1950</v>
      </c>
      <c r="L12" s="61">
        <v>1950</v>
      </c>
      <c r="M12" s="172">
        <v>0</v>
      </c>
    </row>
    <row r="13" spans="1:13" s="15" customFormat="1" ht="15" customHeight="1">
      <c r="A13" s="88" t="s">
        <v>28</v>
      </c>
      <c r="B13" s="126">
        <v>1840</v>
      </c>
      <c r="C13" s="61">
        <v>759.6</v>
      </c>
      <c r="D13" s="61">
        <v>0</v>
      </c>
      <c r="E13" s="57">
        <v>0</v>
      </c>
      <c r="F13" s="57">
        <f>1606.47+643.53+150</f>
        <v>2400</v>
      </c>
      <c r="G13" s="171">
        <f>430+170+950+660.4+104.6</f>
        <v>2315</v>
      </c>
      <c r="H13" s="171">
        <v>0</v>
      </c>
      <c r="I13" s="171">
        <v>0</v>
      </c>
      <c r="J13" s="171">
        <v>0</v>
      </c>
      <c r="K13" s="171">
        <f>1166.38+280.8+512.3+37.7</f>
        <v>1997.18</v>
      </c>
      <c r="L13" s="171">
        <v>0</v>
      </c>
      <c r="M13" s="172">
        <v>0</v>
      </c>
    </row>
    <row r="14" spans="1:13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15" customFormat="1" ht="15" customHeight="1">
      <c r="A15" s="89" t="s">
        <v>30</v>
      </c>
      <c r="B15" s="126">
        <v>0</v>
      </c>
      <c r="C15" s="61">
        <v>0</v>
      </c>
      <c r="D15" s="61">
        <v>0</v>
      </c>
      <c r="E15" s="57">
        <v>99.95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114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3790</v>
      </c>
      <c r="C19" s="69">
        <f>SUM(C5:C18)</f>
        <v>2579.6</v>
      </c>
      <c r="D19" s="69">
        <f t="shared" ref="D19:M19" si="1">SUM(D5:D18)</f>
        <v>1950</v>
      </c>
      <c r="E19" s="69">
        <f t="shared" si="1"/>
        <v>2049.9499999999998</v>
      </c>
      <c r="F19" s="69">
        <f t="shared" si="1"/>
        <v>4350</v>
      </c>
      <c r="G19" s="69">
        <f t="shared" si="1"/>
        <v>4265</v>
      </c>
      <c r="H19" s="69">
        <f t="shared" si="1"/>
        <v>1950</v>
      </c>
      <c r="I19" s="69">
        <f t="shared" si="1"/>
        <v>1950</v>
      </c>
      <c r="J19" s="69">
        <f t="shared" si="1"/>
        <v>1950</v>
      </c>
      <c r="K19" s="69">
        <f t="shared" si="1"/>
        <v>4061.1800000000003</v>
      </c>
      <c r="L19" s="69">
        <f t="shared" si="1"/>
        <v>1950</v>
      </c>
      <c r="M19" s="69">
        <f t="shared" si="1"/>
        <v>0</v>
      </c>
    </row>
    <row r="20" spans="1:13" ht="15" customHeight="1" thickBot="1">
      <c r="A20" s="70" t="s">
        <v>14</v>
      </c>
      <c r="B20" s="122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3790</v>
      </c>
      <c r="C21" s="69">
        <f>C19-C20</f>
        <v>2579.6</v>
      </c>
      <c r="D21" s="69">
        <f t="shared" ref="D21:M21" si="2">D19-D20</f>
        <v>1950</v>
      </c>
      <c r="E21" s="69">
        <f t="shared" si="2"/>
        <v>2049.9499999999998</v>
      </c>
      <c r="F21" s="69">
        <f t="shared" si="2"/>
        <v>4350</v>
      </c>
      <c r="G21" s="69">
        <f t="shared" si="2"/>
        <v>4265</v>
      </c>
      <c r="H21" s="69">
        <f t="shared" si="2"/>
        <v>1950</v>
      </c>
      <c r="I21" s="69">
        <f t="shared" si="2"/>
        <v>1950</v>
      </c>
      <c r="J21" s="69">
        <f t="shared" si="2"/>
        <v>1950</v>
      </c>
      <c r="K21" s="69">
        <f t="shared" si="2"/>
        <v>4061.1800000000003</v>
      </c>
      <c r="L21" s="69">
        <f t="shared" si="2"/>
        <v>1950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3790</v>
      </c>
      <c r="C22" s="77">
        <f>AVERAGE($B$21:C21)</f>
        <v>3184.8</v>
      </c>
      <c r="D22" s="77">
        <f>AVERAGE($B$21:D21)</f>
        <v>2773.2000000000003</v>
      </c>
      <c r="E22" s="77">
        <f>AVERAGE($B$21:E21)</f>
        <v>2592.3874999999998</v>
      </c>
      <c r="F22" s="77">
        <f>AVERAGE($B$21:F21)</f>
        <v>2943.91</v>
      </c>
      <c r="G22" s="77">
        <f>AVERAGE($B$21:G21)</f>
        <v>3164.0916666666667</v>
      </c>
      <c r="H22" s="77">
        <f>AVERAGE($B$21:H21)</f>
        <v>2990.65</v>
      </c>
      <c r="I22" s="77">
        <f>AVERAGE($B$21:I21)</f>
        <v>2860.5687499999999</v>
      </c>
      <c r="J22" s="77">
        <f>AVERAGE($B$21:J21)</f>
        <v>2759.3944444444442</v>
      </c>
      <c r="K22" s="77">
        <f>AVERAGE($B$21:K21)</f>
        <v>2889.5729999999999</v>
      </c>
      <c r="L22" s="77">
        <f>AVERAGE($B$21:L21)</f>
        <v>2804.1572727272728</v>
      </c>
      <c r="M22" s="78"/>
    </row>
    <row r="23" spans="1:13" ht="15" customHeight="1" thickBot="1">
      <c r="A23" s="91" t="s">
        <v>13</v>
      </c>
      <c r="B23" s="125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7" t="s">
        <v>20</v>
      </c>
      <c r="B5" s="129">
        <v>3150</v>
      </c>
      <c r="C5" s="130">
        <v>3150</v>
      </c>
      <c r="D5" s="130">
        <v>0</v>
      </c>
      <c r="E5" s="130">
        <v>3250</v>
      </c>
      <c r="F5" s="130">
        <v>3250</v>
      </c>
      <c r="G5" s="130">
        <v>3250</v>
      </c>
      <c r="H5" s="130">
        <v>3250</v>
      </c>
      <c r="I5" s="130">
        <v>3250</v>
      </c>
      <c r="J5" s="130">
        <v>3250</v>
      </c>
      <c r="K5" s="130">
        <v>3250</v>
      </c>
      <c r="L5" s="130">
        <v>3250</v>
      </c>
      <c r="M5" s="131">
        <v>0</v>
      </c>
    </row>
    <row r="6" spans="1:13" ht="15" customHeight="1">
      <c r="A6" s="87" t="s">
        <v>21</v>
      </c>
      <c r="B6" s="129">
        <v>0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1">
        <v>0</v>
      </c>
    </row>
    <row r="7" spans="1:13" ht="15" customHeight="1">
      <c r="A7" s="87" t="s">
        <v>22</v>
      </c>
      <c r="B7" s="129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378.39</v>
      </c>
      <c r="I7" s="130">
        <f>313.42+325.85</f>
        <v>639.27</v>
      </c>
      <c r="J7" s="130">
        <v>366.68</v>
      </c>
      <c r="K7" s="130">
        <v>366.68</v>
      </c>
      <c r="L7" s="130">
        <v>404.48</v>
      </c>
      <c r="M7" s="131">
        <v>0</v>
      </c>
    </row>
    <row r="8" spans="1:13" ht="15" customHeight="1">
      <c r="A8" s="87" t="s">
        <v>23</v>
      </c>
      <c r="B8" s="129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0</v>
      </c>
      <c r="L8" s="130">
        <v>0</v>
      </c>
      <c r="M8" s="131">
        <v>0</v>
      </c>
    </row>
    <row r="9" spans="1:13" ht="15" customHeight="1">
      <c r="A9" s="87" t="s">
        <v>24</v>
      </c>
      <c r="B9" s="129">
        <v>0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1">
        <v>0</v>
      </c>
    </row>
    <row r="10" spans="1:13" ht="15" customHeight="1">
      <c r="A10" s="87" t="s">
        <v>25</v>
      </c>
      <c r="B10" s="129">
        <v>366.66</v>
      </c>
      <c r="C10" s="130">
        <f>147.06+182.07</f>
        <v>329.13</v>
      </c>
      <c r="D10" s="130">
        <f>198.37+153.96</f>
        <v>352.33000000000004</v>
      </c>
      <c r="E10" s="130">
        <f>222.66+189.86</f>
        <v>412.52</v>
      </c>
      <c r="F10" s="130">
        <f>163.99+182.4</f>
        <v>346.39</v>
      </c>
      <c r="G10" s="130">
        <f>147.54+182.85</f>
        <v>330.39</v>
      </c>
      <c r="H10" s="130">
        <f>191.82+163.99</f>
        <v>355.81</v>
      </c>
      <c r="I10" s="130">
        <f>181.44+169.19</f>
        <v>350.63</v>
      </c>
      <c r="J10" s="130">
        <f>163.99+257.8</f>
        <v>421.79</v>
      </c>
      <c r="K10" s="130">
        <f>191.19+164.96</f>
        <v>356.15</v>
      </c>
      <c r="L10" s="130">
        <f>161.63+204.01</f>
        <v>365.64</v>
      </c>
      <c r="M10" s="131">
        <v>0</v>
      </c>
    </row>
    <row r="11" spans="1:13" ht="15" customHeight="1">
      <c r="A11" s="87" t="s">
        <v>26</v>
      </c>
      <c r="B11" s="132">
        <v>0</v>
      </c>
      <c r="C11" s="133">
        <v>0</v>
      </c>
      <c r="D11" s="133">
        <v>0</v>
      </c>
      <c r="E11" s="130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4">
        <v>0</v>
      </c>
    </row>
    <row r="12" spans="1:13" s="17" customFormat="1" ht="15" customHeight="1">
      <c r="A12" s="151" t="s">
        <v>27</v>
      </c>
      <c r="B12" s="132">
        <v>0</v>
      </c>
      <c r="C12" s="133">
        <v>0</v>
      </c>
      <c r="D12" s="133">
        <v>0</v>
      </c>
      <c r="E12" s="130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4">
        <v>0</v>
      </c>
    </row>
    <row r="13" spans="1:13" s="15" customFormat="1" ht="15" customHeight="1">
      <c r="A13" s="151" t="s">
        <v>28</v>
      </c>
      <c r="B13" s="132">
        <v>0</v>
      </c>
      <c r="C13" s="133">
        <v>0</v>
      </c>
      <c r="D13" s="133">
        <v>0</v>
      </c>
      <c r="E13" s="130">
        <v>0</v>
      </c>
      <c r="F13" s="130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4">
        <v>0</v>
      </c>
    </row>
    <row r="14" spans="1:13" s="17" customFormat="1" ht="15" customHeight="1">
      <c r="A14" s="151" t="s">
        <v>29</v>
      </c>
      <c r="B14" s="132">
        <v>0</v>
      </c>
      <c r="C14" s="133">
        <v>0</v>
      </c>
      <c r="D14" s="133">
        <v>0</v>
      </c>
      <c r="E14" s="130">
        <v>0</v>
      </c>
      <c r="F14" s="130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4">
        <v>0</v>
      </c>
    </row>
    <row r="15" spans="1:13" s="15" customFormat="1" ht="15" customHeight="1">
      <c r="A15" s="151" t="s">
        <v>30</v>
      </c>
      <c r="B15" s="132">
        <v>280.3</v>
      </c>
      <c r="C15" s="133">
        <v>347.95</v>
      </c>
      <c r="D15" s="133">
        <f>188+9.6</f>
        <v>197.6</v>
      </c>
      <c r="E15" s="130">
        <v>308.8</v>
      </c>
      <c r="F15" s="130">
        <v>218.4</v>
      </c>
      <c r="G15" s="133">
        <f>186.3</f>
        <v>186.3</v>
      </c>
      <c r="H15" s="133">
        <v>553</v>
      </c>
      <c r="I15" s="133">
        <v>360</v>
      </c>
      <c r="J15" s="133">
        <f>172.5+36.6+23.9+131.6+50</f>
        <v>414.6</v>
      </c>
      <c r="K15" s="133">
        <f>24.99+40.8+23.9+79.9+255.6+42</f>
        <v>467.19</v>
      </c>
      <c r="L15" s="133">
        <f>47.9+132.7</f>
        <v>180.6</v>
      </c>
      <c r="M15" s="134">
        <v>0</v>
      </c>
    </row>
    <row r="16" spans="1:13" s="15" customFormat="1" ht="15" customHeight="1">
      <c r="A16" s="151" t="s">
        <v>31</v>
      </c>
      <c r="B16" s="132">
        <v>0</v>
      </c>
      <c r="C16" s="133">
        <v>0</v>
      </c>
      <c r="D16" s="133">
        <v>0</v>
      </c>
      <c r="E16" s="130">
        <v>0</v>
      </c>
      <c r="F16" s="130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4">
        <v>0</v>
      </c>
    </row>
    <row r="17" spans="1:14" ht="15" customHeight="1">
      <c r="A17" s="151" t="s">
        <v>32</v>
      </c>
      <c r="B17" s="132">
        <v>0</v>
      </c>
      <c r="C17" s="133">
        <v>0</v>
      </c>
      <c r="D17" s="133">
        <v>0</v>
      </c>
      <c r="E17" s="130">
        <v>0</v>
      </c>
      <c r="F17" s="130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4">
        <v>0</v>
      </c>
    </row>
    <row r="18" spans="1:14" ht="15" customHeight="1" thickBot="1">
      <c r="A18" s="152" t="s">
        <v>33</v>
      </c>
      <c r="B18" s="135">
        <v>0</v>
      </c>
      <c r="C18" s="136">
        <v>0</v>
      </c>
      <c r="D18" s="136">
        <v>430</v>
      </c>
      <c r="E18" s="130">
        <v>0</v>
      </c>
      <c r="F18" s="130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30</v>
      </c>
      <c r="L18" s="133">
        <v>0</v>
      </c>
      <c r="M18" s="134">
        <v>0</v>
      </c>
    </row>
    <row r="19" spans="1:14" ht="15" customHeight="1" thickBot="1">
      <c r="A19" s="149" t="s">
        <v>34</v>
      </c>
      <c r="B19" s="137">
        <f t="shared" ref="B19" si="0">SUM(B5:B18)</f>
        <v>3796.96</v>
      </c>
      <c r="C19" s="138">
        <f t="shared" ref="C19:M19" si="1">SUM(C5:C18)</f>
        <v>3827.08</v>
      </c>
      <c r="D19" s="138">
        <f t="shared" si="1"/>
        <v>979.93000000000006</v>
      </c>
      <c r="E19" s="138">
        <f t="shared" si="1"/>
        <v>3971.32</v>
      </c>
      <c r="F19" s="138">
        <f t="shared" si="1"/>
        <v>3814.79</v>
      </c>
      <c r="G19" s="138">
        <f t="shared" si="1"/>
        <v>3766.69</v>
      </c>
      <c r="H19" s="138">
        <f t="shared" si="1"/>
        <v>4537.2</v>
      </c>
      <c r="I19" s="138">
        <f t="shared" si="1"/>
        <v>4599.8999999999996</v>
      </c>
      <c r="J19" s="138">
        <f t="shared" si="1"/>
        <v>4453.07</v>
      </c>
      <c r="K19" s="138">
        <f t="shared" si="1"/>
        <v>4470.0199999999995</v>
      </c>
      <c r="L19" s="138">
        <f t="shared" si="1"/>
        <v>4200.72</v>
      </c>
      <c r="M19" s="138">
        <f t="shared" si="1"/>
        <v>0</v>
      </c>
      <c r="N19" s="14" t="s">
        <v>38</v>
      </c>
    </row>
    <row r="20" spans="1:14" ht="15" customHeight="1" thickBot="1">
      <c r="A20" s="150" t="s">
        <v>14</v>
      </c>
      <c r="B20" s="139">
        <v>47</v>
      </c>
      <c r="C20" s="133">
        <f>3.87+4.88</f>
        <v>8.75</v>
      </c>
      <c r="D20" s="133">
        <v>0</v>
      </c>
      <c r="E20" s="133">
        <v>23.5</v>
      </c>
      <c r="F20" s="133">
        <v>23.5</v>
      </c>
      <c r="G20" s="133">
        <v>0</v>
      </c>
      <c r="H20" s="133">
        <v>23.9</v>
      </c>
      <c r="I20" s="133">
        <v>57.54</v>
      </c>
      <c r="J20" s="133">
        <v>36.6</v>
      </c>
      <c r="K20" s="133">
        <v>95.6</v>
      </c>
      <c r="L20" s="133">
        <v>0</v>
      </c>
      <c r="M20" s="134">
        <v>0</v>
      </c>
    </row>
    <row r="21" spans="1:14" ht="15" customHeight="1" thickBot="1">
      <c r="A21" s="149" t="s">
        <v>15</v>
      </c>
      <c r="B21" s="137">
        <f>B19-B20</f>
        <v>3749.96</v>
      </c>
      <c r="C21" s="138">
        <f t="shared" ref="C21:M21" si="2">C19-C20</f>
        <v>3818.33</v>
      </c>
      <c r="D21" s="138">
        <f t="shared" si="2"/>
        <v>979.93000000000006</v>
      </c>
      <c r="E21" s="138">
        <f t="shared" si="2"/>
        <v>3947.82</v>
      </c>
      <c r="F21" s="138">
        <f t="shared" si="2"/>
        <v>3791.29</v>
      </c>
      <c r="G21" s="138">
        <f t="shared" si="2"/>
        <v>3766.69</v>
      </c>
      <c r="H21" s="138">
        <f t="shared" si="2"/>
        <v>4513.3</v>
      </c>
      <c r="I21" s="138">
        <f t="shared" si="2"/>
        <v>4542.3599999999997</v>
      </c>
      <c r="J21" s="138">
        <f t="shared" si="2"/>
        <v>4416.4699999999993</v>
      </c>
      <c r="K21" s="138">
        <f t="shared" si="2"/>
        <v>4374.4199999999992</v>
      </c>
      <c r="L21" s="138">
        <f t="shared" si="2"/>
        <v>4200.72</v>
      </c>
      <c r="M21" s="138">
        <f t="shared" si="2"/>
        <v>0</v>
      </c>
    </row>
    <row r="22" spans="1:14" ht="15" customHeight="1" thickBot="1">
      <c r="A22" s="150" t="s">
        <v>12</v>
      </c>
      <c r="B22" s="140">
        <f>AVERAGE(B21)</f>
        <v>3749.96</v>
      </c>
      <c r="C22" s="77">
        <f>AVERAGE($B$21:C21)</f>
        <v>3784.145</v>
      </c>
      <c r="D22" s="77">
        <f>AVERAGE($B$21:D21)</f>
        <v>2849.4066666666663</v>
      </c>
      <c r="E22" s="77">
        <f>AVERAGE($B$21:E21)</f>
        <v>3124.0099999999998</v>
      </c>
      <c r="F22" s="77">
        <f>AVERAGE($B$21:F21)</f>
        <v>3257.4659999999994</v>
      </c>
      <c r="G22" s="77">
        <f>AVERAGE($B$21:G21)</f>
        <v>3342.3366666666661</v>
      </c>
      <c r="H22" s="77">
        <f>AVERAGE($B$21:H21)</f>
        <v>3509.6171428571424</v>
      </c>
      <c r="I22" s="77">
        <f>AVERAGE($B$21:I21)</f>
        <v>3638.7099999999996</v>
      </c>
      <c r="J22" s="77">
        <f>AVERAGE($B$21:J21)</f>
        <v>3725.1277777777773</v>
      </c>
      <c r="K22" s="77">
        <f>AVERAGE($B$21:K21)</f>
        <v>3790.0569999999993</v>
      </c>
      <c r="L22" s="77">
        <f>AVERAGE($B$21:L21)</f>
        <v>3827.3899999999994</v>
      </c>
      <c r="M22" s="141"/>
    </row>
    <row r="23" spans="1:14" ht="15" customHeight="1" thickBot="1">
      <c r="A23" s="153" t="s">
        <v>13</v>
      </c>
      <c r="B23" s="142"/>
      <c r="C23" s="143"/>
      <c r="D23" s="143"/>
      <c r="E23" s="143"/>
      <c r="F23" s="143"/>
      <c r="G23" s="143"/>
      <c r="H23" s="143"/>
      <c r="I23" s="144"/>
      <c r="J23" s="143"/>
      <c r="K23" s="143"/>
      <c r="L23" s="143"/>
      <c r="M23" s="145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87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58" customFormat="1" ht="15" customHeight="1">
      <c r="A5" s="86" t="s">
        <v>20</v>
      </c>
      <c r="B5" s="79">
        <v>0</v>
      </c>
      <c r="C5" s="57">
        <v>2500</v>
      </c>
      <c r="D5" s="57">
        <v>2500</v>
      </c>
      <c r="E5" s="57">
        <v>2500</v>
      </c>
      <c r="F5" s="57">
        <v>2500</v>
      </c>
      <c r="G5" s="57">
        <v>2500</v>
      </c>
      <c r="H5" s="57">
        <v>2500</v>
      </c>
      <c r="I5" s="57">
        <v>2500</v>
      </c>
      <c r="J5" s="57">
        <v>2500</v>
      </c>
      <c r="K5" s="57">
        <v>2500</v>
      </c>
      <c r="L5" s="57">
        <v>2500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1862</v>
      </c>
      <c r="D12" s="61">
        <v>2061.5</v>
      </c>
      <c r="E12" s="57">
        <v>1995</v>
      </c>
      <c r="F12" s="61">
        <v>2061.5</v>
      </c>
      <c r="G12" s="57">
        <v>1995</v>
      </c>
      <c r="H12" s="171">
        <v>2061.5</v>
      </c>
      <c r="I12" s="171">
        <v>2061.5</v>
      </c>
      <c r="J12" s="57">
        <v>1995</v>
      </c>
      <c r="K12" s="171">
        <v>2061.5</v>
      </c>
      <c r="L12" s="57">
        <v>1995</v>
      </c>
      <c r="M12" s="172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64" customFormat="1" ht="15" customHeight="1">
      <c r="A15" s="88" t="s">
        <v>30</v>
      </c>
      <c r="B15" s="80">
        <v>0</v>
      </c>
      <c r="C15" s="61">
        <v>240</v>
      </c>
      <c r="D15" s="61">
        <f>5+39.9</f>
        <v>44.9</v>
      </c>
      <c r="E15" s="57">
        <v>114.5</v>
      </c>
      <c r="F15" s="57">
        <v>45</v>
      </c>
      <c r="G15" s="61">
        <v>105.2</v>
      </c>
      <c r="H15" s="61">
        <v>45.8</v>
      </c>
      <c r="I15" s="61">
        <v>42.9</v>
      </c>
      <c r="J15" s="61">
        <v>108.5</v>
      </c>
      <c r="K15" s="61">
        <v>50</v>
      </c>
      <c r="L15" s="61">
        <v>108.1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4602</v>
      </c>
      <c r="D19" s="69">
        <f t="shared" ref="D19:M19" si="0">SUM(D5:D18)</f>
        <v>4606.3999999999996</v>
      </c>
      <c r="E19" s="69">
        <f t="shared" si="0"/>
        <v>4609.5</v>
      </c>
      <c r="F19" s="69">
        <f t="shared" si="0"/>
        <v>4606.5</v>
      </c>
      <c r="G19" s="69">
        <f t="shared" si="0"/>
        <v>4600.2</v>
      </c>
      <c r="H19" s="69">
        <f t="shared" si="0"/>
        <v>4607.3</v>
      </c>
      <c r="I19" s="69">
        <f t="shared" si="0"/>
        <v>4604.3999999999996</v>
      </c>
      <c r="J19" s="69">
        <f t="shared" si="0"/>
        <v>4603.5</v>
      </c>
      <c r="K19" s="69">
        <f t="shared" si="0"/>
        <v>4611.5</v>
      </c>
      <c r="L19" s="69">
        <f t="shared" si="0"/>
        <v>4603.1000000000004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2</v>
      </c>
      <c r="D20" s="61">
        <v>6.4</v>
      </c>
      <c r="E20" s="61">
        <v>9.5</v>
      </c>
      <c r="F20" s="61">
        <v>6.5</v>
      </c>
      <c r="G20" s="61">
        <v>0.2</v>
      </c>
      <c r="H20" s="61">
        <v>7.3</v>
      </c>
      <c r="I20" s="61">
        <v>4.4000000000000004</v>
      </c>
      <c r="J20" s="61">
        <v>3.5</v>
      </c>
      <c r="K20" s="61">
        <v>11.5</v>
      </c>
      <c r="L20" s="61">
        <v>3.1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4600</v>
      </c>
      <c r="L21" s="69">
        <f t="shared" si="1"/>
        <v>4600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>
        <f>AVERAGE($C$21:F21)</f>
        <v>4600</v>
      </c>
      <c r="G22" s="77">
        <f>AVERAGE($C$21:G21)</f>
        <v>4600</v>
      </c>
      <c r="H22" s="77">
        <f>AVERAGE($C$21:H21)</f>
        <v>4600</v>
      </c>
      <c r="I22" s="77">
        <f>AVERAGE($C$21:I21)</f>
        <v>4600</v>
      </c>
      <c r="J22" s="77">
        <f>AVERAGE($C$21:J21)</f>
        <v>4600</v>
      </c>
      <c r="K22" s="77">
        <f>AVERAGE($C$21:K21)</f>
        <v>4600</v>
      </c>
      <c r="L22" s="77">
        <f>AVERAGE($C$21:L21)</f>
        <v>4600</v>
      </c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19" sqref="L19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4699.91</v>
      </c>
      <c r="C12" s="61">
        <f>2438.8+1806.28</f>
        <v>4245.08</v>
      </c>
      <c r="D12" s="61">
        <f>2700.1+2883</f>
        <v>5583.1</v>
      </c>
      <c r="E12" s="57">
        <v>5403</v>
      </c>
      <c r="F12" s="171">
        <v>5583.1</v>
      </c>
      <c r="G12" s="57">
        <v>5403</v>
      </c>
      <c r="H12" s="171">
        <f>2700.1+2883</f>
        <v>5583.1</v>
      </c>
      <c r="I12" s="171">
        <f>2700.1+2883</f>
        <v>5583.1</v>
      </c>
      <c r="J12" s="171">
        <f>2613+2790</f>
        <v>5403</v>
      </c>
      <c r="K12" s="171">
        <f>2700.1+2883</f>
        <v>5583.1</v>
      </c>
      <c r="L12" s="171">
        <f>2613+2790</f>
        <v>5403</v>
      </c>
      <c r="M12" s="172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17" customFormat="1" ht="15" customHeight="1">
      <c r="A14" s="88" t="s">
        <v>29</v>
      </c>
      <c r="B14" s="114"/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4699.91</v>
      </c>
      <c r="C19" s="69">
        <f>SUM(C5:C18)</f>
        <v>4245.08</v>
      </c>
      <c r="D19" s="69">
        <f t="shared" ref="D19:M19" si="0">SUM(D5:D18)</f>
        <v>5583.1</v>
      </c>
      <c r="E19" s="69">
        <f t="shared" si="0"/>
        <v>5403</v>
      </c>
      <c r="F19" s="69">
        <f t="shared" si="0"/>
        <v>5583.1</v>
      </c>
      <c r="G19" s="69">
        <f t="shared" si="0"/>
        <v>5403</v>
      </c>
      <c r="H19" s="69">
        <f t="shared" si="0"/>
        <v>5583.1</v>
      </c>
      <c r="I19" s="69">
        <f t="shared" si="0"/>
        <v>5583.1</v>
      </c>
      <c r="J19" s="69">
        <f t="shared" si="0"/>
        <v>5403</v>
      </c>
      <c r="K19" s="69">
        <f t="shared" si="0"/>
        <v>5583.1</v>
      </c>
      <c r="L19" s="69">
        <f t="shared" si="0"/>
        <v>5403</v>
      </c>
      <c r="M19" s="69">
        <f t="shared" si="0"/>
        <v>0</v>
      </c>
    </row>
    <row r="20" spans="1:13" ht="15" customHeight="1" thickBot="1">
      <c r="A20" s="70" t="s">
        <v>14</v>
      </c>
      <c r="B20" s="116">
        <v>99.91</v>
      </c>
      <c r="C20" s="61">
        <v>0</v>
      </c>
      <c r="D20" s="61">
        <v>983.1</v>
      </c>
      <c r="E20" s="61">
        <v>803</v>
      </c>
      <c r="F20" s="61">
        <v>983.1</v>
      </c>
      <c r="G20" s="61">
        <v>803</v>
      </c>
      <c r="H20" s="61">
        <v>983.1</v>
      </c>
      <c r="I20" s="61">
        <v>983.1</v>
      </c>
      <c r="J20" s="61">
        <v>803</v>
      </c>
      <c r="K20" s="61">
        <v>983.1</v>
      </c>
      <c r="L20" s="61">
        <v>803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4245.08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4600</v>
      </c>
      <c r="L21" s="69">
        <f t="shared" si="1"/>
        <v>4600</v>
      </c>
      <c r="M21" s="69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4422.54</v>
      </c>
      <c r="D22" s="77">
        <f>AVERAGE($B$21:D21)</f>
        <v>4481.6933333333336</v>
      </c>
      <c r="E22" s="77">
        <f>AVERAGE($B$21:E21)</f>
        <v>4511.2700000000004</v>
      </c>
      <c r="F22" s="77">
        <f>AVERAGE($B$21:F21)</f>
        <v>4529.0160000000005</v>
      </c>
      <c r="G22" s="77">
        <f>AVERAGE($B$21:G21)</f>
        <v>4540.8466666666673</v>
      </c>
      <c r="H22" s="77">
        <f>AVERAGE($B$21:H21)</f>
        <v>4549.2971428571427</v>
      </c>
      <c r="I22" s="77">
        <f>AVERAGE($B$21:I21)</f>
        <v>4555.6350000000002</v>
      </c>
      <c r="J22" s="77">
        <f>AVERAGE($B$21:J21)</f>
        <v>4560.5644444444442</v>
      </c>
      <c r="K22" s="77">
        <f>AVERAGE($B$21:K21)</f>
        <v>4564.5079999999998</v>
      </c>
      <c r="L22" s="77">
        <f>AVERAGE($B$21:L21)</f>
        <v>4567.7345454545457</v>
      </c>
      <c r="M22" s="78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  <ignoredErrors>
    <ignoredError sqref="J12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M25"/>
  <sheetViews>
    <sheetView topLeftCell="A3" zoomScaleNormal="100" workbookViewId="0">
      <selection activeCell="A25" sqref="A25"/>
    </sheetView>
  </sheetViews>
  <sheetFormatPr defaultRowHeight="12.75"/>
  <cols>
    <col min="1" max="1" width="52.28515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97" t="s">
        <v>0</v>
      </c>
      <c r="B3" s="182" t="s">
        <v>1</v>
      </c>
      <c r="C3" s="182" t="s">
        <v>2</v>
      </c>
      <c r="D3" s="182" t="s">
        <v>3</v>
      </c>
      <c r="E3" s="182" t="s">
        <v>4</v>
      </c>
      <c r="F3" s="182" t="s">
        <v>5</v>
      </c>
      <c r="G3" s="182" t="s">
        <v>6</v>
      </c>
      <c r="H3" s="182" t="s">
        <v>7</v>
      </c>
      <c r="I3" s="182" t="s">
        <v>16</v>
      </c>
      <c r="J3" s="182" t="s">
        <v>8</v>
      </c>
      <c r="K3" s="182" t="s">
        <v>9</v>
      </c>
      <c r="L3" s="182" t="s">
        <v>10</v>
      </c>
      <c r="M3" s="182" t="s">
        <v>11</v>
      </c>
    </row>
    <row r="4" spans="1:13" s="58" customFormat="1" ht="11.25">
      <c r="A4" s="198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</row>
    <row r="5" spans="1:13" ht="15" customHeight="1">
      <c r="A5" s="55" t="s">
        <v>20</v>
      </c>
      <c r="B5" s="57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2"/>
    </row>
    <row r="6" spans="1:13" ht="15" customHeight="1">
      <c r="A6" s="59" t="s">
        <v>21</v>
      </c>
      <c r="B6" s="57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2"/>
    </row>
    <row r="7" spans="1:13" ht="15" customHeight="1">
      <c r="A7" s="59" t="s">
        <v>22</v>
      </c>
      <c r="B7" s="57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2"/>
    </row>
    <row r="8" spans="1:13" ht="15" customHeight="1">
      <c r="A8" s="59" t="s">
        <v>23</v>
      </c>
      <c r="B8" s="57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2"/>
    </row>
    <row r="9" spans="1:13" ht="15" customHeight="1">
      <c r="A9" s="59" t="s">
        <v>24</v>
      </c>
      <c r="B9" s="57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2"/>
    </row>
    <row r="10" spans="1:13" ht="15" customHeight="1">
      <c r="A10" s="59" t="s">
        <v>25</v>
      </c>
      <c r="B10" s="57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2"/>
    </row>
    <row r="11" spans="1:13" ht="15" customHeight="1">
      <c r="A11" s="55" t="s">
        <v>26</v>
      </c>
      <c r="B11" s="57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3"/>
    </row>
    <row r="12" spans="1:13" s="17" customFormat="1" ht="15" customHeight="1">
      <c r="A12" s="62" t="s">
        <v>27</v>
      </c>
      <c r="B12" s="57">
        <v>5683.23</v>
      </c>
      <c r="C12" s="60"/>
      <c r="D12" s="60"/>
      <c r="E12" s="160"/>
      <c r="F12" s="160"/>
      <c r="G12" s="160"/>
      <c r="H12" s="160"/>
      <c r="I12" s="161"/>
      <c r="J12" s="160"/>
      <c r="K12" s="160"/>
      <c r="L12" s="160"/>
      <c r="M12" s="164"/>
    </row>
    <row r="13" spans="1:13" s="15" customFormat="1" ht="15" customHeight="1">
      <c r="A13" s="62" t="s">
        <v>28</v>
      </c>
      <c r="B13" s="57">
        <v>0</v>
      </c>
      <c r="C13" s="60"/>
      <c r="D13" s="60"/>
      <c r="E13" s="56"/>
      <c r="F13" s="56"/>
      <c r="G13" s="160"/>
      <c r="H13" s="160"/>
      <c r="I13" s="160"/>
      <c r="J13" s="160"/>
      <c r="K13" s="160"/>
      <c r="L13" s="160"/>
      <c r="M13" s="164"/>
    </row>
    <row r="14" spans="1:13" s="17" customFormat="1" ht="15" customHeight="1">
      <c r="A14" s="62" t="s">
        <v>29</v>
      </c>
      <c r="B14" s="57">
        <v>0</v>
      </c>
      <c r="C14" s="60"/>
      <c r="D14" s="60"/>
      <c r="E14" s="56"/>
      <c r="F14" s="56"/>
      <c r="G14" s="160"/>
      <c r="H14" s="160"/>
      <c r="I14" s="160"/>
      <c r="J14" s="160"/>
      <c r="K14" s="160"/>
      <c r="L14" s="160"/>
      <c r="M14" s="164"/>
    </row>
    <row r="15" spans="1:13" s="15" customFormat="1" ht="15" customHeight="1">
      <c r="A15" s="62" t="s">
        <v>30</v>
      </c>
      <c r="B15" s="57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3"/>
    </row>
    <row r="16" spans="1:13" s="15" customFormat="1" ht="15" customHeight="1">
      <c r="A16" s="62" t="s">
        <v>31</v>
      </c>
      <c r="B16" s="57">
        <v>0</v>
      </c>
      <c r="C16" s="60"/>
      <c r="D16" s="60"/>
      <c r="E16" s="56"/>
      <c r="F16" s="56"/>
      <c r="G16" s="160"/>
      <c r="H16" s="160"/>
      <c r="I16" s="160"/>
      <c r="J16" s="160"/>
      <c r="K16" s="160"/>
      <c r="L16" s="160"/>
      <c r="M16" s="164"/>
    </row>
    <row r="17" spans="1:13" ht="15" customHeight="1">
      <c r="A17" s="62" t="s">
        <v>32</v>
      </c>
      <c r="B17" s="57">
        <v>0</v>
      </c>
      <c r="C17" s="60"/>
      <c r="D17" s="60"/>
      <c r="E17" s="56"/>
      <c r="F17" s="56"/>
      <c r="G17" s="160"/>
      <c r="H17" s="160"/>
      <c r="I17" s="160"/>
      <c r="J17" s="160"/>
      <c r="K17" s="160"/>
      <c r="L17" s="160"/>
      <c r="M17" s="164"/>
    </row>
    <row r="18" spans="1:13" ht="15" customHeight="1" thickBot="1">
      <c r="A18" s="65" t="s">
        <v>33</v>
      </c>
      <c r="B18" s="5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3"/>
    </row>
    <row r="19" spans="1:13" ht="15" customHeight="1" thickBot="1">
      <c r="A19" s="67" t="s">
        <v>34</v>
      </c>
      <c r="B19" s="69">
        <f>SUM(B5:B18)</f>
        <v>5683.23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93">
        <v>1083.23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3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73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8"/>
    </row>
    <row r="23" spans="1:13" ht="15" customHeight="1" thickBot="1">
      <c r="A23" s="71" t="s">
        <v>13</v>
      </c>
      <c r="B23" s="174" t="s">
        <v>17</v>
      </c>
      <c r="C23" s="72"/>
      <c r="D23" s="165"/>
      <c r="E23" s="165"/>
      <c r="F23" s="165"/>
      <c r="G23" s="165"/>
      <c r="H23" s="165"/>
      <c r="I23" s="166"/>
      <c r="J23" s="165"/>
      <c r="K23" s="165"/>
      <c r="L23" s="165"/>
      <c r="M23" s="167"/>
    </row>
    <row r="24" spans="1:13" ht="15">
      <c r="A24"/>
    </row>
    <row r="25" spans="1:13">
      <c r="A25" s="32" t="s">
        <v>85</v>
      </c>
      <c r="B25" s="11" t="s">
        <v>42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92" t="s">
        <v>19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4"/>
    </row>
    <row r="2" spans="1:14" ht="21.75" thickBot="1">
      <c r="A2" s="177" t="s">
        <v>45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4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4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4" s="58" customFormat="1" ht="15" customHeight="1">
      <c r="A5" s="86" t="s">
        <v>20</v>
      </c>
      <c r="B5" s="119">
        <v>1200</v>
      </c>
      <c r="C5" s="96">
        <v>1200</v>
      </c>
      <c r="D5" s="96">
        <v>1291.3900000000001</v>
      </c>
      <c r="E5" s="96">
        <v>1291.3900000000001</v>
      </c>
      <c r="F5" s="96">
        <v>1291.3900000000001</v>
      </c>
      <c r="G5" s="96">
        <v>1291.3900000000001</v>
      </c>
      <c r="H5" s="96">
        <v>1291.3900000000001</v>
      </c>
      <c r="I5" s="96">
        <v>1291.3900000000001</v>
      </c>
      <c r="J5" s="96">
        <v>1291.3900000000001</v>
      </c>
      <c r="K5" s="96">
        <v>1291.3900000000001</v>
      </c>
      <c r="L5" s="96">
        <v>1291.3900000000001</v>
      </c>
      <c r="M5" s="97">
        <v>0</v>
      </c>
    </row>
    <row r="6" spans="1:14" s="58" customFormat="1" ht="15" customHeight="1">
      <c r="A6" s="87" t="s">
        <v>21</v>
      </c>
      <c r="B6" s="119">
        <v>489.73</v>
      </c>
      <c r="C6" s="96">
        <v>490.96000000000004</v>
      </c>
      <c r="D6" s="96">
        <v>498.03999999999991</v>
      </c>
      <c r="E6" s="96">
        <f>2022-E5-E7-E9</f>
        <v>588.42999999999984</v>
      </c>
      <c r="F6" s="96">
        <f>2026.56-F5-F7-F9</f>
        <v>590.22999999999979</v>
      </c>
      <c r="G6" s="96">
        <f>1901.75-G5-G9</f>
        <v>511.53999999999991</v>
      </c>
      <c r="H6" s="96">
        <f>1901.34-H5-H9</f>
        <v>511.12999999999982</v>
      </c>
      <c r="I6" s="96">
        <f>1897.48-I5-I9</f>
        <v>507.26999999999992</v>
      </c>
      <c r="J6" s="96">
        <f>1798.66-J5</f>
        <v>507.27</v>
      </c>
      <c r="K6" s="96">
        <f>1931.43-K5</f>
        <v>640.04</v>
      </c>
      <c r="L6" s="96">
        <f>1931.43-L5</f>
        <v>640.04</v>
      </c>
      <c r="M6" s="97">
        <v>0</v>
      </c>
    </row>
    <row r="7" spans="1:14" s="58" customFormat="1" ht="15" customHeight="1">
      <c r="A7" s="87" t="s">
        <v>22</v>
      </c>
      <c r="B7" s="119">
        <v>21.96</v>
      </c>
      <c r="C7" s="96">
        <v>22.04</v>
      </c>
      <c r="D7" s="96">
        <f>22.57+23.12</f>
        <v>45.69</v>
      </c>
      <c r="E7" s="96">
        <v>43.36</v>
      </c>
      <c r="F7" s="96">
        <v>46.12</v>
      </c>
      <c r="G7" s="96">
        <f>55.34+22.89</f>
        <v>78.23</v>
      </c>
      <c r="H7" s="96">
        <v>23.71</v>
      </c>
      <c r="I7" s="96">
        <v>24.35</v>
      </c>
      <c r="J7" s="96">
        <f>16.97+1.58</f>
        <v>18.549999999999997</v>
      </c>
      <c r="K7" s="96">
        <v>0</v>
      </c>
      <c r="L7" s="96">
        <v>237.63</v>
      </c>
      <c r="M7" s="97">
        <v>0</v>
      </c>
    </row>
    <row r="8" spans="1:14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9">
        <v>98.82</v>
      </c>
      <c r="C9" s="96">
        <v>98.82</v>
      </c>
      <c r="D9" s="96">
        <v>98.82</v>
      </c>
      <c r="E9" s="96">
        <v>98.82</v>
      </c>
      <c r="F9" s="96">
        <v>98.82</v>
      </c>
      <c r="G9" s="96">
        <v>98.82</v>
      </c>
      <c r="H9" s="96">
        <v>98.82</v>
      </c>
      <c r="I9" s="96">
        <v>98.82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26">
        <v>2480</v>
      </c>
      <c r="C12" s="98">
        <v>2436</v>
      </c>
      <c r="D12" s="98">
        <v>2697</v>
      </c>
      <c r="E12" s="96">
        <v>2610</v>
      </c>
      <c r="F12" s="98">
        <v>2697</v>
      </c>
      <c r="G12" s="98">
        <v>2610</v>
      </c>
      <c r="H12" s="98">
        <v>2697</v>
      </c>
      <c r="I12" s="98">
        <v>2697</v>
      </c>
      <c r="J12" s="98">
        <v>2610</v>
      </c>
      <c r="K12" s="98">
        <v>2697</v>
      </c>
      <c r="L12" s="98">
        <v>2610</v>
      </c>
      <c r="M12" s="99">
        <v>0</v>
      </c>
    </row>
    <row r="13" spans="1:14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128"/>
    </row>
    <row r="14" spans="1:14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64" customFormat="1" ht="15" customHeight="1">
      <c r="A15" s="88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>SUM(B5:B18)</f>
        <v>4290.51</v>
      </c>
      <c r="C19" s="101">
        <f t="shared" ref="C19:M19" si="0">SUM(C5:C18)</f>
        <v>4247.82</v>
      </c>
      <c r="D19" s="101">
        <f t="shared" si="0"/>
        <v>4630.9400000000005</v>
      </c>
      <c r="E19" s="101">
        <f t="shared" si="0"/>
        <v>4632</v>
      </c>
      <c r="F19" s="101">
        <f t="shared" si="0"/>
        <v>4723.5599999999995</v>
      </c>
      <c r="G19" s="101">
        <f t="shared" si="0"/>
        <v>4589.9799999999996</v>
      </c>
      <c r="H19" s="101">
        <f t="shared" si="0"/>
        <v>4622.05</v>
      </c>
      <c r="I19" s="101">
        <f t="shared" si="0"/>
        <v>4618.83</v>
      </c>
      <c r="J19" s="101">
        <f t="shared" si="0"/>
        <v>4427.21</v>
      </c>
      <c r="K19" s="101">
        <f t="shared" si="0"/>
        <v>4628.43</v>
      </c>
      <c r="L19" s="101">
        <f t="shared" si="0"/>
        <v>4779.0599999999995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30.94</v>
      </c>
      <c r="E20" s="98">
        <v>32</v>
      </c>
      <c r="F20" s="98">
        <v>123.56</v>
      </c>
      <c r="G20" s="98">
        <v>0</v>
      </c>
      <c r="H20" s="98">
        <v>22.05</v>
      </c>
      <c r="I20" s="98">
        <v>18.829999999999998</v>
      </c>
      <c r="J20" s="98">
        <v>0</v>
      </c>
      <c r="K20" s="98">
        <v>28.43</v>
      </c>
      <c r="L20" s="98">
        <v>179.06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4290.51</v>
      </c>
      <c r="C21" s="101">
        <f t="shared" ref="C21:M21" si="1">C19-C20</f>
        <v>4247.82</v>
      </c>
      <c r="D21" s="101">
        <f t="shared" si="1"/>
        <v>4600.0000000000009</v>
      </c>
      <c r="E21" s="101">
        <f t="shared" si="1"/>
        <v>4600</v>
      </c>
      <c r="F21" s="101">
        <f t="shared" si="1"/>
        <v>4599.9999999999991</v>
      </c>
      <c r="G21" s="101">
        <f t="shared" si="1"/>
        <v>4589.9799999999996</v>
      </c>
      <c r="H21" s="101">
        <f t="shared" si="1"/>
        <v>4600</v>
      </c>
      <c r="I21" s="101">
        <f t="shared" si="1"/>
        <v>4600</v>
      </c>
      <c r="J21" s="101">
        <f t="shared" si="1"/>
        <v>4427.21</v>
      </c>
      <c r="K21" s="101">
        <f t="shared" si="1"/>
        <v>4600</v>
      </c>
      <c r="L21" s="101">
        <f t="shared" si="1"/>
        <v>4599.9999999999991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7">
        <f>AVERAGE(B21)</f>
        <v>4290.51</v>
      </c>
      <c r="C22" s="111">
        <f>AVERAGE($B$21:C21)</f>
        <v>4269.165</v>
      </c>
      <c r="D22" s="111">
        <f>AVERAGE($B$21:D21)</f>
        <v>4379.4433333333336</v>
      </c>
      <c r="E22" s="111">
        <f>AVERAGE($B$21:E21)</f>
        <v>4434.5825000000004</v>
      </c>
      <c r="F22" s="111">
        <f>AVERAGE($B$21:F21)</f>
        <v>4467.6660000000002</v>
      </c>
      <c r="G22" s="111">
        <f>AVERAGE($B$21:G21)</f>
        <v>4488.0516666666672</v>
      </c>
      <c r="H22" s="111">
        <f>AVERAGE($B$21:H21)</f>
        <v>4504.0442857142862</v>
      </c>
      <c r="I22" s="111">
        <f>AVERAGE($B$21:I21)</f>
        <v>4516.0387499999997</v>
      </c>
      <c r="J22" s="111">
        <f>AVERAGE($B$21:J21)</f>
        <v>4506.1688888888884</v>
      </c>
      <c r="K22" s="111">
        <f>AVERAGE($B$21:K21)</f>
        <v>4515.5519999999997</v>
      </c>
      <c r="L22" s="111">
        <f>AVERAGE($B$21:L21)</f>
        <v>4523.2290909090907</v>
      </c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M26"/>
  <sheetViews>
    <sheetView zoomScaleNormal="100" workbookViewId="0">
      <selection activeCell="D20" sqref="D20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6" customFormat="1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76" customFormat="1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2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2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2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2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2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2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3"/>
    </row>
    <row r="12" spans="1:13" ht="15" customHeight="1">
      <c r="A12" s="88" t="s">
        <v>27</v>
      </c>
      <c r="B12" s="114">
        <v>0</v>
      </c>
      <c r="C12" s="60"/>
      <c r="D12" s="60"/>
      <c r="E12" s="160"/>
      <c r="F12" s="160"/>
      <c r="G12" s="160"/>
      <c r="H12" s="160"/>
      <c r="I12" s="161"/>
      <c r="J12" s="160"/>
      <c r="K12" s="160"/>
      <c r="L12" s="160"/>
      <c r="M12" s="164"/>
    </row>
    <row r="13" spans="1:13" ht="15" customHeight="1">
      <c r="A13" s="88" t="s">
        <v>28</v>
      </c>
      <c r="B13" s="114">
        <v>0</v>
      </c>
      <c r="C13" s="60"/>
      <c r="D13" s="60"/>
      <c r="E13" s="56"/>
      <c r="F13" s="56"/>
      <c r="G13" s="160"/>
      <c r="H13" s="160"/>
      <c r="I13" s="160"/>
      <c r="J13" s="160"/>
      <c r="K13" s="160"/>
      <c r="L13" s="160"/>
      <c r="M13" s="164"/>
    </row>
    <row r="14" spans="1:13" ht="15" customHeight="1">
      <c r="A14" s="88" t="s">
        <v>29</v>
      </c>
      <c r="B14" s="114">
        <v>0</v>
      </c>
      <c r="C14" s="60"/>
      <c r="D14" s="60"/>
      <c r="E14" s="56"/>
      <c r="F14" s="56"/>
      <c r="G14" s="160"/>
      <c r="H14" s="160"/>
      <c r="I14" s="160"/>
      <c r="J14" s="160"/>
      <c r="K14" s="160"/>
      <c r="L14" s="160"/>
      <c r="M14" s="164"/>
    </row>
    <row r="15" spans="1:13" ht="15" customHeight="1">
      <c r="A15" s="88" t="s">
        <v>30</v>
      </c>
      <c r="B15" s="114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3"/>
    </row>
    <row r="16" spans="1:13" ht="15" customHeight="1">
      <c r="A16" s="88" t="s">
        <v>31</v>
      </c>
      <c r="B16" s="114">
        <v>0</v>
      </c>
      <c r="C16" s="60"/>
      <c r="D16" s="60"/>
      <c r="E16" s="56"/>
      <c r="F16" s="56"/>
      <c r="G16" s="160"/>
      <c r="H16" s="160"/>
      <c r="I16" s="160"/>
      <c r="J16" s="160"/>
      <c r="K16" s="160"/>
      <c r="L16" s="160"/>
      <c r="M16" s="164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0"/>
      <c r="H17" s="160"/>
      <c r="I17" s="160"/>
      <c r="J17" s="160"/>
      <c r="K17" s="160"/>
      <c r="L17" s="160"/>
      <c r="M17" s="164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3"/>
    </row>
    <row r="19" spans="1:13" ht="15" customHeight="1" thickBot="1">
      <c r="A19" s="67" t="s">
        <v>34</v>
      </c>
      <c r="B19" s="69" t="s">
        <v>35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4">
        <v>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3"/>
    </row>
    <row r="21" spans="1:13" ht="15" customHeight="1" thickBot="1">
      <c r="A21" s="67" t="s">
        <v>15</v>
      </c>
      <c r="B21" s="69">
        <v>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8"/>
    </row>
    <row r="23" spans="1:13" ht="15" customHeight="1" thickBot="1">
      <c r="A23" s="91" t="s">
        <v>13</v>
      </c>
      <c r="B23" s="118"/>
      <c r="C23" s="72"/>
      <c r="D23" s="165"/>
      <c r="E23" s="165"/>
      <c r="F23" s="165"/>
      <c r="G23" s="165"/>
      <c r="H23" s="165"/>
      <c r="I23" s="166"/>
      <c r="J23" s="165"/>
      <c r="K23" s="165"/>
      <c r="L23" s="165"/>
      <c r="M23" s="167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1" t="s">
        <v>82</v>
      </c>
    </row>
    <row r="26" spans="1:13">
      <c r="A26" s="32" t="s">
        <v>85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58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18" customFormat="1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5" customFormat="1" ht="15" customHeight="1">
      <c r="A12" s="88" t="s">
        <v>27</v>
      </c>
      <c r="B12" s="114">
        <f t="shared" ref="B12:L12" si="0">3300+1400</f>
        <v>4700</v>
      </c>
      <c r="C12" s="61">
        <f t="shared" si="0"/>
        <v>4700</v>
      </c>
      <c r="D12" s="61">
        <f t="shared" si="0"/>
        <v>4700</v>
      </c>
      <c r="E12" s="61">
        <f t="shared" si="0"/>
        <v>4700</v>
      </c>
      <c r="F12" s="61">
        <f t="shared" si="0"/>
        <v>4700</v>
      </c>
      <c r="G12" s="61">
        <f t="shared" si="0"/>
        <v>4700</v>
      </c>
      <c r="H12" s="61">
        <f t="shared" si="0"/>
        <v>4700</v>
      </c>
      <c r="I12" s="61">
        <f t="shared" si="0"/>
        <v>4700</v>
      </c>
      <c r="J12" s="61">
        <f t="shared" si="0"/>
        <v>4700</v>
      </c>
      <c r="K12" s="61">
        <f t="shared" si="0"/>
        <v>4700</v>
      </c>
      <c r="L12" s="61">
        <f t="shared" si="0"/>
        <v>4700</v>
      </c>
      <c r="M12" s="172">
        <v>0</v>
      </c>
    </row>
    <row r="13" spans="1:13" s="18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15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1">SUM(B5:B18)</f>
        <v>4700</v>
      </c>
      <c r="C19" s="69">
        <f>SUM(C5:C18)</f>
        <v>4700</v>
      </c>
      <c r="D19" s="69">
        <f t="shared" ref="D19:M19" si="2">SUM(D5:D18)</f>
        <v>4700</v>
      </c>
      <c r="E19" s="69">
        <f t="shared" si="2"/>
        <v>4700</v>
      </c>
      <c r="F19" s="69">
        <f t="shared" si="2"/>
        <v>4700</v>
      </c>
      <c r="G19" s="69">
        <f t="shared" si="2"/>
        <v>4700</v>
      </c>
      <c r="H19" s="69">
        <f t="shared" si="2"/>
        <v>4700</v>
      </c>
      <c r="I19" s="69">
        <f t="shared" si="2"/>
        <v>4700</v>
      </c>
      <c r="J19" s="69">
        <f t="shared" si="2"/>
        <v>4700</v>
      </c>
      <c r="K19" s="69">
        <f t="shared" si="2"/>
        <v>4700</v>
      </c>
      <c r="L19" s="69">
        <f t="shared" si="2"/>
        <v>4700</v>
      </c>
      <c r="M19" s="69">
        <f t="shared" si="2"/>
        <v>0</v>
      </c>
    </row>
    <row r="20" spans="1:13" ht="15" customHeight="1" thickBot="1">
      <c r="A20" s="70" t="s">
        <v>14</v>
      </c>
      <c r="B20" s="116">
        <v>100</v>
      </c>
      <c r="C20" s="61">
        <v>100</v>
      </c>
      <c r="D20" s="61">
        <v>100</v>
      </c>
      <c r="E20" s="61">
        <v>100</v>
      </c>
      <c r="F20" s="61">
        <v>100</v>
      </c>
      <c r="G20" s="61">
        <v>100</v>
      </c>
      <c r="H20" s="61">
        <v>100</v>
      </c>
      <c r="I20" s="61">
        <v>100</v>
      </c>
      <c r="J20" s="61">
        <v>100</v>
      </c>
      <c r="K20" s="61">
        <v>100</v>
      </c>
      <c r="L20" s="61">
        <v>100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3">D19-D20</f>
        <v>4600</v>
      </c>
      <c r="E21" s="69">
        <f t="shared" si="3"/>
        <v>4600</v>
      </c>
      <c r="F21" s="69">
        <f t="shared" si="3"/>
        <v>4600</v>
      </c>
      <c r="G21" s="69">
        <f t="shared" si="3"/>
        <v>4600</v>
      </c>
      <c r="H21" s="69">
        <f t="shared" si="3"/>
        <v>4600</v>
      </c>
      <c r="I21" s="69">
        <f t="shared" si="3"/>
        <v>4600</v>
      </c>
      <c r="J21" s="69">
        <f t="shared" si="3"/>
        <v>4600</v>
      </c>
      <c r="K21" s="69">
        <f t="shared" si="3"/>
        <v>4600</v>
      </c>
      <c r="L21" s="69">
        <f t="shared" si="3"/>
        <v>4600</v>
      </c>
      <c r="M21" s="69">
        <f t="shared" si="3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>
        <f>AVERAGE($B$21:F21)</f>
        <v>4600</v>
      </c>
      <c r="G22" s="77">
        <f>AVERAGE($B$21:G21)</f>
        <v>4600</v>
      </c>
      <c r="H22" s="77">
        <f>AVERAGE($B$21:H21)</f>
        <v>4600</v>
      </c>
      <c r="I22" s="77">
        <f>AVERAGE($B$21:I21)</f>
        <v>4600</v>
      </c>
      <c r="J22" s="77">
        <f>AVERAGE($B$21:J21)</f>
        <v>4600</v>
      </c>
      <c r="K22" s="77">
        <f>AVERAGE($B$21:K21)</f>
        <v>4600</v>
      </c>
      <c r="L22" s="77">
        <f>AVERAGE($B$21:L21)</f>
        <v>4600</v>
      </c>
      <c r="M22" s="78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topLeftCell="A2" zoomScaleNormal="100" workbookViewId="0">
      <selection activeCell="L22" sqref="L22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4550</v>
      </c>
      <c r="C12" s="61">
        <v>4550</v>
      </c>
      <c r="D12" s="61">
        <v>4570</v>
      </c>
      <c r="E12" s="61">
        <v>4570</v>
      </c>
      <c r="F12" s="171">
        <v>4500</v>
      </c>
      <c r="G12" s="171">
        <v>4500</v>
      </c>
      <c r="H12" s="171">
        <v>4500</v>
      </c>
      <c r="I12" s="171">
        <v>4500</v>
      </c>
      <c r="J12" s="171">
        <v>4500</v>
      </c>
      <c r="K12" s="171">
        <v>4500</v>
      </c>
      <c r="L12" s="171">
        <v>4500</v>
      </c>
      <c r="M12" s="172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4550</v>
      </c>
      <c r="C19" s="69">
        <f>SUM(C5:C18)</f>
        <v>4550</v>
      </c>
      <c r="D19" s="69">
        <f t="shared" ref="D19:M19" si="1">SUM(D5:D18)</f>
        <v>4570</v>
      </c>
      <c r="E19" s="69">
        <f t="shared" si="1"/>
        <v>4570</v>
      </c>
      <c r="F19" s="69">
        <f t="shared" si="1"/>
        <v>4500</v>
      </c>
      <c r="G19" s="69">
        <f t="shared" si="1"/>
        <v>4500</v>
      </c>
      <c r="H19" s="69">
        <f t="shared" si="1"/>
        <v>4500</v>
      </c>
      <c r="I19" s="69">
        <f t="shared" si="1"/>
        <v>4500</v>
      </c>
      <c r="J19" s="69">
        <f t="shared" si="1"/>
        <v>4500</v>
      </c>
      <c r="K19" s="69">
        <f t="shared" si="1"/>
        <v>4500</v>
      </c>
      <c r="L19" s="69">
        <f t="shared" si="1"/>
        <v>4500</v>
      </c>
      <c r="M19" s="69">
        <f t="shared" si="1"/>
        <v>0</v>
      </c>
    </row>
    <row r="20" spans="1:13" ht="15" customHeight="1" thickBot="1">
      <c r="A20" s="70" t="s">
        <v>14</v>
      </c>
      <c r="B20" s="116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4550</v>
      </c>
      <c r="C21" s="69">
        <f>C19-C20</f>
        <v>4550</v>
      </c>
      <c r="D21" s="69">
        <f t="shared" ref="D21:M21" si="2">D19-D20</f>
        <v>4570</v>
      </c>
      <c r="E21" s="69">
        <f t="shared" si="2"/>
        <v>4570</v>
      </c>
      <c r="F21" s="69">
        <f t="shared" si="2"/>
        <v>4500</v>
      </c>
      <c r="G21" s="69">
        <f t="shared" si="2"/>
        <v>4500</v>
      </c>
      <c r="H21" s="69">
        <f t="shared" si="2"/>
        <v>4500</v>
      </c>
      <c r="I21" s="69">
        <f t="shared" si="2"/>
        <v>4500</v>
      </c>
      <c r="J21" s="69">
        <f t="shared" si="2"/>
        <v>4500</v>
      </c>
      <c r="K21" s="69">
        <f t="shared" si="2"/>
        <v>4500</v>
      </c>
      <c r="L21" s="69">
        <f t="shared" si="2"/>
        <v>4500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4550</v>
      </c>
      <c r="C22" s="77">
        <f>AVERAGE($B$21:C21)</f>
        <v>4550</v>
      </c>
      <c r="D22" s="77">
        <f>AVERAGE($B$21:D21)</f>
        <v>4556.666666666667</v>
      </c>
      <c r="E22" s="77">
        <f>AVERAGE($B$21:E21)</f>
        <v>4560</v>
      </c>
      <c r="F22" s="77">
        <f>AVERAGE($B$21:F21)</f>
        <v>4548</v>
      </c>
      <c r="G22" s="77">
        <f>AVERAGE($B$21:G21)</f>
        <v>4540</v>
      </c>
      <c r="H22" s="77">
        <f>AVERAGE($B$21:H21)</f>
        <v>4534.2857142857147</v>
      </c>
      <c r="I22" s="77">
        <f>AVERAGE($B$21:I21)</f>
        <v>4530</v>
      </c>
      <c r="J22" s="77">
        <f>AVERAGE($B$21:J21)</f>
        <v>4526.666666666667</v>
      </c>
      <c r="K22" s="77">
        <f>AVERAGE($B$21:K21)</f>
        <v>4524</v>
      </c>
      <c r="L22" s="77">
        <f>AVERAGE($B$21:L21)</f>
        <v>4521.818181818182</v>
      </c>
      <c r="M22" s="78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L22" sqref="L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9" customFormat="1" ht="15" customHeight="1">
      <c r="A11" s="86" t="s">
        <v>26</v>
      </c>
      <c r="B11" s="113">
        <v>0</v>
      </c>
      <c r="C11" s="61">
        <v>0</v>
      </c>
      <c r="D11" s="57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" customFormat="1" ht="15" customHeight="1">
      <c r="A12" s="88" t="s">
        <v>27</v>
      </c>
      <c r="B12" s="114">
        <v>4800</v>
      </c>
      <c r="C12" s="61">
        <v>0</v>
      </c>
      <c r="D12" s="171">
        <v>4800</v>
      </c>
      <c r="E12" s="171">
        <v>4800</v>
      </c>
      <c r="F12" s="171">
        <v>4800</v>
      </c>
      <c r="G12" s="171">
        <v>4800</v>
      </c>
      <c r="H12" s="171">
        <v>4800</v>
      </c>
      <c r="I12" s="171">
        <v>4800</v>
      </c>
      <c r="J12" s="171">
        <v>4800</v>
      </c>
      <c r="K12" s="171">
        <v>4800</v>
      </c>
      <c r="L12" s="171">
        <v>4800</v>
      </c>
      <c r="M12" s="95">
        <v>0</v>
      </c>
    </row>
    <row r="13" spans="1:13" s="9" customFormat="1" ht="15" customHeight="1">
      <c r="A13" s="88" t="s">
        <v>28</v>
      </c>
      <c r="B13" s="113">
        <v>0</v>
      </c>
      <c r="C13" s="61">
        <v>0</v>
      </c>
      <c r="D13" s="57">
        <v>0</v>
      </c>
      <c r="E13" s="57">
        <v>0</v>
      </c>
      <c r="F13" s="171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6" customFormat="1" ht="15" customHeight="1">
      <c r="A14" s="88" t="s">
        <v>29</v>
      </c>
      <c r="B14" s="113">
        <v>0</v>
      </c>
      <c r="C14" s="61">
        <v>0</v>
      </c>
      <c r="D14" s="57">
        <v>0</v>
      </c>
      <c r="E14" s="57">
        <v>0</v>
      </c>
      <c r="F14" s="171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6" customFormat="1" ht="15" customHeight="1">
      <c r="A15" s="88" t="s">
        <v>30</v>
      </c>
      <c r="B15" s="113">
        <v>0</v>
      </c>
      <c r="C15" s="61">
        <v>0</v>
      </c>
      <c r="D15" s="57">
        <v>0</v>
      </c>
      <c r="E15" s="57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57">
        <v>0</v>
      </c>
      <c r="E16" s="57">
        <v>0</v>
      </c>
      <c r="F16" s="171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57">
        <v>0</v>
      </c>
      <c r="E17" s="57">
        <v>0</v>
      </c>
      <c r="F17" s="171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57">
        <v>0</v>
      </c>
      <c r="E18" s="57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:E19" si="0">SUM(B5:B18)</f>
        <v>4800</v>
      </c>
      <c r="C19" s="69" t="s">
        <v>35</v>
      </c>
      <c r="D19" s="69">
        <f t="shared" si="0"/>
        <v>4800</v>
      </c>
      <c r="E19" s="69">
        <f t="shared" si="0"/>
        <v>4800</v>
      </c>
      <c r="F19" s="69">
        <f t="shared" ref="F19:L19" si="1">SUM(F5:F18)</f>
        <v>4800</v>
      </c>
      <c r="G19" s="69">
        <f t="shared" si="1"/>
        <v>4800</v>
      </c>
      <c r="H19" s="69">
        <f t="shared" si="1"/>
        <v>4800</v>
      </c>
      <c r="I19" s="69">
        <f t="shared" si="1"/>
        <v>4800</v>
      </c>
      <c r="J19" s="69">
        <f t="shared" si="1"/>
        <v>4800</v>
      </c>
      <c r="K19" s="69">
        <f t="shared" ref="K19" si="2">SUM(K5:K18)</f>
        <v>4800</v>
      </c>
      <c r="L19" s="69">
        <f t="shared" si="1"/>
        <v>4800</v>
      </c>
      <c r="M19" s="69"/>
    </row>
    <row r="20" spans="1:13" ht="15" customHeight="1" thickBot="1">
      <c r="A20" s="70" t="s">
        <v>14</v>
      </c>
      <c r="B20" s="116">
        <v>200</v>
      </c>
      <c r="C20" s="93">
        <v>0</v>
      </c>
      <c r="D20" s="116">
        <v>200</v>
      </c>
      <c r="E20" s="116">
        <v>200</v>
      </c>
      <c r="F20" s="116">
        <v>200</v>
      </c>
      <c r="G20" s="116">
        <v>200</v>
      </c>
      <c r="H20" s="116">
        <v>200</v>
      </c>
      <c r="I20" s="116">
        <v>200</v>
      </c>
      <c r="J20" s="116">
        <v>200</v>
      </c>
      <c r="K20" s="116">
        <v>200</v>
      </c>
      <c r="L20" s="116">
        <v>200</v>
      </c>
      <c r="M20" s="95"/>
    </row>
    <row r="21" spans="1:13" ht="15" customHeight="1" thickBot="1">
      <c r="A21" s="67" t="s">
        <v>15</v>
      </c>
      <c r="B21" s="69">
        <f>B19-B20</f>
        <v>4600</v>
      </c>
      <c r="C21" s="69">
        <v>0</v>
      </c>
      <c r="D21" s="69">
        <f>D19-D20</f>
        <v>4600</v>
      </c>
      <c r="E21" s="69">
        <f>E19-E20</f>
        <v>4600</v>
      </c>
      <c r="F21" s="69">
        <f t="shared" ref="F21:L21" si="3">F19-F20</f>
        <v>4600</v>
      </c>
      <c r="G21" s="69">
        <f t="shared" si="3"/>
        <v>4600</v>
      </c>
      <c r="H21" s="69">
        <f t="shared" si="3"/>
        <v>4600</v>
      </c>
      <c r="I21" s="69">
        <f t="shared" si="3"/>
        <v>4600</v>
      </c>
      <c r="J21" s="69">
        <f t="shared" si="3"/>
        <v>4600</v>
      </c>
      <c r="K21" s="69">
        <f t="shared" ref="K21" si="4">K19-K20</f>
        <v>4600</v>
      </c>
      <c r="L21" s="69">
        <f t="shared" si="3"/>
        <v>4600</v>
      </c>
      <c r="M21" s="69"/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2300</v>
      </c>
      <c r="D22" s="77">
        <f>AVERAGE($B$21:D21)</f>
        <v>3066.6666666666665</v>
      </c>
      <c r="E22" s="77">
        <f>AVERAGE($B$21:E21)</f>
        <v>3450</v>
      </c>
      <c r="F22" s="77">
        <f>AVERAGE($B$21:F21)</f>
        <v>3680</v>
      </c>
      <c r="G22" s="77">
        <f>AVERAGE($B$21:G21)</f>
        <v>3833.3333333333335</v>
      </c>
      <c r="H22" s="77">
        <f>AVERAGE($B$21:H21)</f>
        <v>3942.8571428571427</v>
      </c>
      <c r="I22" s="77">
        <f>AVERAGE($B$21:I21)</f>
        <v>4025</v>
      </c>
      <c r="J22" s="77">
        <f>AVERAGE($B$21:J21)</f>
        <v>4088.8888888888887</v>
      </c>
      <c r="K22" s="77">
        <f>AVERAGE($B$21:K21)</f>
        <v>4140</v>
      </c>
      <c r="L22" s="77">
        <f>AVERAGE($B$21:L21)</f>
        <v>4181.818181818182</v>
      </c>
      <c r="M22" s="78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K19" sqref="K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1">
        <v>0</v>
      </c>
      <c r="G12" s="171">
        <v>0</v>
      </c>
      <c r="H12" s="171">
        <v>0</v>
      </c>
      <c r="I12" s="61">
        <v>0</v>
      </c>
      <c r="J12" s="171">
        <v>0</v>
      </c>
      <c r="K12" s="171">
        <v>0</v>
      </c>
      <c r="L12" s="171">
        <v>0</v>
      </c>
      <c r="M12" s="172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0</v>
      </c>
      <c r="C19" s="69">
        <f t="shared" ref="C19:J19" si="0">SUM(C5:C18)</f>
        <v>0</v>
      </c>
      <c r="D19" s="69">
        <f t="shared" si="0"/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ref="K19:M19" si="1">SUM(K5:K18)</f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f t="shared" ref="K21:M21" si="2">K19-K20</f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 t="shared" ref="B22:G22" si="3">AVERAGE(B21)</f>
        <v>0</v>
      </c>
      <c r="C22" s="77">
        <f t="shared" si="3"/>
        <v>0</v>
      </c>
      <c r="D22" s="77">
        <f t="shared" si="3"/>
        <v>0</v>
      </c>
      <c r="E22" s="77">
        <f t="shared" si="3"/>
        <v>0</v>
      </c>
      <c r="F22" s="77">
        <f t="shared" si="3"/>
        <v>0</v>
      </c>
      <c r="G22" s="77">
        <f t="shared" si="3"/>
        <v>0</v>
      </c>
      <c r="H22" s="77">
        <f t="shared" ref="H22:I22" si="4">AVERAGE(H21)</f>
        <v>0</v>
      </c>
      <c r="I22" s="77">
        <f t="shared" si="4"/>
        <v>0</v>
      </c>
      <c r="J22" s="77">
        <f t="shared" ref="J22" si="5">AVERAGE(J21)</f>
        <v>0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6" spans="1:13">
      <c r="A26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6" customFormat="1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76" customFormat="1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>
      <c r="A5" s="41" t="s">
        <v>20</v>
      </c>
      <c r="B5" s="36">
        <v>2000</v>
      </c>
      <c r="C5" s="23">
        <v>2000</v>
      </c>
      <c r="D5" s="23">
        <v>2000</v>
      </c>
      <c r="E5" s="23">
        <v>2000</v>
      </c>
      <c r="F5" s="23">
        <v>0</v>
      </c>
      <c r="G5" s="23">
        <v>0</v>
      </c>
      <c r="H5" s="23">
        <v>0</v>
      </c>
      <c r="I5" s="23">
        <v>0</v>
      </c>
      <c r="J5" s="23">
        <v>700</v>
      </c>
      <c r="K5" s="23">
        <v>800</v>
      </c>
      <c r="L5" s="23">
        <v>700</v>
      </c>
      <c r="M5" s="33">
        <v>0</v>
      </c>
    </row>
    <row r="6" spans="1:13">
      <c r="A6" s="42" t="s">
        <v>21</v>
      </c>
      <c r="B6" s="36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>
      <c r="A7" s="42" t="s">
        <v>22</v>
      </c>
      <c r="B7" s="36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17.989999999999998</v>
      </c>
      <c r="L7" s="23">
        <v>18.350000000000001</v>
      </c>
      <c r="M7" s="33">
        <v>0</v>
      </c>
    </row>
    <row r="8" spans="1:13">
      <c r="A8" s="42" t="s">
        <v>23</v>
      </c>
      <c r="B8" s="36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>
      <c r="A9" s="42" t="s">
        <v>24</v>
      </c>
      <c r="B9" s="36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>
      <c r="A10" s="42" t="s">
        <v>25</v>
      </c>
      <c r="B10" s="36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>
      <c r="A11" s="41" t="s">
        <v>26</v>
      </c>
      <c r="B11" s="37">
        <v>0</v>
      </c>
      <c r="C11" s="24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>
      <c r="A12" s="43" t="s">
        <v>27</v>
      </c>
      <c r="B12" s="37">
        <v>2170</v>
      </c>
      <c r="C12" s="24">
        <v>1960</v>
      </c>
      <c r="D12" s="24">
        <v>0</v>
      </c>
      <c r="E12" s="23">
        <f>2170+2100</f>
        <v>4270</v>
      </c>
      <c r="F12" s="25">
        <v>2170</v>
      </c>
      <c r="G12" s="25">
        <v>2100</v>
      </c>
      <c r="H12" s="25">
        <v>2170</v>
      </c>
      <c r="I12" s="24">
        <v>2170</v>
      </c>
      <c r="J12" s="25">
        <v>2100</v>
      </c>
      <c r="K12" s="24">
        <v>2170</v>
      </c>
      <c r="L12" s="25">
        <v>2100</v>
      </c>
      <c r="M12" s="35">
        <v>0</v>
      </c>
    </row>
    <row r="13" spans="1:13">
      <c r="A13" s="43" t="s">
        <v>28</v>
      </c>
      <c r="B13" s="37">
        <v>0</v>
      </c>
      <c r="C13" s="24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>
      <c r="A14" s="43" t="s">
        <v>29</v>
      </c>
      <c r="B14" s="37">
        <v>0</v>
      </c>
      <c r="C14" s="24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>
      <c r="A15" s="44" t="s">
        <v>30</v>
      </c>
      <c r="B15" s="37">
        <v>0</v>
      </c>
      <c r="C15" s="24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ht="17.25" customHeight="1">
      <c r="A16" s="43" t="s">
        <v>31</v>
      </c>
      <c r="B16" s="37">
        <v>0</v>
      </c>
      <c r="C16" s="24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>
      <c r="A17" s="43" t="s">
        <v>32</v>
      </c>
      <c r="B17" s="37">
        <v>0</v>
      </c>
      <c r="C17" s="24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.75" thickBot="1">
      <c r="A18" s="45" t="s">
        <v>33</v>
      </c>
      <c r="B18" s="38">
        <v>0</v>
      </c>
      <c r="C18" s="26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.75" thickBot="1">
      <c r="A19" s="21" t="s">
        <v>34</v>
      </c>
      <c r="B19" s="39">
        <f>SUM(B5:B18)</f>
        <v>4170</v>
      </c>
      <c r="C19" s="22">
        <f>SUM(C5:C18)</f>
        <v>3960</v>
      </c>
      <c r="D19" s="22">
        <f t="shared" ref="D19:M19" si="0">SUM(D5:D18)</f>
        <v>2000</v>
      </c>
      <c r="E19" s="22">
        <f t="shared" si="0"/>
        <v>6270</v>
      </c>
      <c r="F19" s="22">
        <f t="shared" si="0"/>
        <v>2170</v>
      </c>
      <c r="G19" s="22">
        <f t="shared" si="0"/>
        <v>2100</v>
      </c>
      <c r="H19" s="22">
        <f t="shared" si="0"/>
        <v>2170</v>
      </c>
      <c r="I19" s="22">
        <f t="shared" si="0"/>
        <v>2170</v>
      </c>
      <c r="J19" s="22">
        <f t="shared" si="0"/>
        <v>2800</v>
      </c>
      <c r="K19" s="22">
        <f t="shared" si="0"/>
        <v>2987.99</v>
      </c>
      <c r="L19" s="22">
        <f t="shared" si="0"/>
        <v>2818.35</v>
      </c>
      <c r="M19" s="22">
        <f t="shared" si="0"/>
        <v>0</v>
      </c>
    </row>
    <row r="20" spans="1:13" ht="15.75" thickBot="1">
      <c r="A20" s="27" t="s">
        <v>14</v>
      </c>
      <c r="B20" s="40">
        <v>0</v>
      </c>
      <c r="C20" s="24">
        <v>0</v>
      </c>
      <c r="D20" s="24">
        <v>0</v>
      </c>
      <c r="E20" s="24">
        <v>1670</v>
      </c>
      <c r="F20" s="24">
        <v>0</v>
      </c>
      <c r="G20" s="24">
        <v>0</v>
      </c>
      <c r="H20" s="24">
        <v>662.92</v>
      </c>
      <c r="I20" s="24">
        <v>0</v>
      </c>
      <c r="J20" s="24">
        <v>0</v>
      </c>
      <c r="K20" s="24">
        <v>100</v>
      </c>
      <c r="L20" s="24">
        <v>0</v>
      </c>
      <c r="M20" s="34">
        <v>0</v>
      </c>
    </row>
    <row r="21" spans="1:13" ht="15.75" thickBot="1">
      <c r="A21" s="21" t="s">
        <v>15</v>
      </c>
      <c r="B21" s="39">
        <f>B19-B20</f>
        <v>4170</v>
      </c>
      <c r="C21" s="22">
        <f>C19-C20</f>
        <v>3960</v>
      </c>
      <c r="D21" s="22">
        <f t="shared" ref="D21:M21" si="1">D19-D20</f>
        <v>2000</v>
      </c>
      <c r="E21" s="22">
        <f t="shared" si="1"/>
        <v>4600</v>
      </c>
      <c r="F21" s="22">
        <f t="shared" si="1"/>
        <v>2170</v>
      </c>
      <c r="G21" s="22">
        <f t="shared" si="1"/>
        <v>2100</v>
      </c>
      <c r="H21" s="22">
        <f t="shared" si="1"/>
        <v>1507.08</v>
      </c>
      <c r="I21" s="22">
        <f t="shared" si="1"/>
        <v>2170</v>
      </c>
      <c r="J21" s="22">
        <f t="shared" si="1"/>
        <v>2800</v>
      </c>
      <c r="K21" s="22">
        <f t="shared" si="1"/>
        <v>2887.99</v>
      </c>
      <c r="L21" s="22">
        <f t="shared" si="1"/>
        <v>2818.35</v>
      </c>
      <c r="M21" s="22">
        <f t="shared" si="1"/>
        <v>0</v>
      </c>
    </row>
    <row r="22" spans="1:13" ht="15.75" thickBot="1">
      <c r="A22" s="27" t="s">
        <v>12</v>
      </c>
      <c r="B22" s="52">
        <f>AVERAGE(B21)</f>
        <v>4170</v>
      </c>
      <c r="C22" s="53">
        <f>AVERAGE($B$21:C21)</f>
        <v>4065</v>
      </c>
      <c r="D22" s="53">
        <f>AVERAGE($B$21:D21)</f>
        <v>3376.6666666666665</v>
      </c>
      <c r="E22" s="53">
        <f>AVERAGE($B$21:E21)</f>
        <v>3682.5</v>
      </c>
      <c r="F22" s="53">
        <f>AVERAGE($B$21:F21)</f>
        <v>3380</v>
      </c>
      <c r="G22" s="53">
        <f>AVERAGE($B$21:G21)</f>
        <v>3166.6666666666665</v>
      </c>
      <c r="H22" s="53">
        <f>AVERAGE($B$21:H21)</f>
        <v>2929.5828571428574</v>
      </c>
      <c r="I22" s="53">
        <f>AVERAGE($B$21:I21)</f>
        <v>2834.6350000000002</v>
      </c>
      <c r="J22" s="53">
        <f>AVERAGE($B$21:J21)</f>
        <v>2830.7866666666669</v>
      </c>
      <c r="K22" s="53">
        <f>AVERAGE($B$21:K21)</f>
        <v>2836.5070000000001</v>
      </c>
      <c r="L22" s="53">
        <f>AVERAGE($B$21:L21)</f>
        <v>2834.8563636363633</v>
      </c>
      <c r="M22" s="54"/>
    </row>
    <row r="23" spans="1:13" ht="15.75" thickBot="1">
      <c r="A23" s="46" t="s">
        <v>13</v>
      </c>
      <c r="B23" s="47"/>
      <c r="C23" s="48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topLeftCell="A3" zoomScaleNormal="100" workbookViewId="0">
      <selection activeCell="K19" sqref="K19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6" customFormat="1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76" customFormat="1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ht="15" customHeight="1">
      <c r="A12" s="88" t="s">
        <v>27</v>
      </c>
      <c r="B12" s="113">
        <v>0</v>
      </c>
      <c r="C12" s="61">
        <v>0</v>
      </c>
      <c r="D12" s="61">
        <v>0</v>
      </c>
      <c r="E12" s="57">
        <v>0</v>
      </c>
      <c r="F12" s="171">
        <v>0</v>
      </c>
      <c r="G12" s="171">
        <v>0</v>
      </c>
      <c r="H12" s="171">
        <v>0</v>
      </c>
      <c r="I12" s="61">
        <v>0</v>
      </c>
      <c r="J12" s="171">
        <v>0</v>
      </c>
      <c r="K12" s="171">
        <v>0</v>
      </c>
      <c r="L12" s="171">
        <v>0</v>
      </c>
      <c r="M12" s="172">
        <v>0</v>
      </c>
    </row>
    <row r="13" spans="1:13" ht="15" customHeight="1">
      <c r="A13" s="88" t="s">
        <v>28</v>
      </c>
      <c r="B13" s="113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ht="15" customHeight="1">
      <c r="A14" s="88" t="s">
        <v>29</v>
      </c>
      <c r="B14" s="113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ht="15" customHeight="1">
      <c r="A15" s="88" t="s">
        <v>30</v>
      </c>
      <c r="B15" s="113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0</v>
      </c>
      <c r="C19" s="69">
        <f t="shared" ref="C19:J19" si="0">SUM(C5:C18)</f>
        <v>0</v>
      </c>
      <c r="D19" s="69">
        <f t="shared" si="0"/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ref="K19" si="1">SUM(K5:K18)</f>
        <v>0</v>
      </c>
      <c r="L19" s="69">
        <f t="shared" ref="L19:M19" si="2">SUM(L5:L18)</f>
        <v>0</v>
      </c>
      <c r="M19" s="69">
        <f t="shared" si="2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f t="shared" ref="K21:M21" si="3">K19-K20</f>
        <v>0</v>
      </c>
      <c r="L21" s="69">
        <f t="shared" si="3"/>
        <v>0</v>
      </c>
      <c r="M21" s="69">
        <f t="shared" si="3"/>
        <v>0</v>
      </c>
    </row>
    <row r="22" spans="1:13" ht="15" customHeight="1" thickBot="1">
      <c r="A22" s="70" t="s">
        <v>12</v>
      </c>
      <c r="B22" s="77">
        <f t="shared" ref="B22:G22" si="4">AVERAGE(B21)</f>
        <v>0</v>
      </c>
      <c r="C22" s="77">
        <f t="shared" si="4"/>
        <v>0</v>
      </c>
      <c r="D22" s="77">
        <f t="shared" si="4"/>
        <v>0</v>
      </c>
      <c r="E22" s="77">
        <f t="shared" si="4"/>
        <v>0</v>
      </c>
      <c r="F22" s="77">
        <f t="shared" si="4"/>
        <v>0</v>
      </c>
      <c r="G22" s="77">
        <f t="shared" si="4"/>
        <v>0</v>
      </c>
      <c r="H22" s="77">
        <f t="shared" ref="H22:I22" si="5">AVERAGE(H21)</f>
        <v>0</v>
      </c>
      <c r="I22" s="77">
        <f t="shared" si="5"/>
        <v>0</v>
      </c>
      <c r="J22" s="77">
        <f t="shared" ref="J22" si="6">AVERAGE(J21)</f>
        <v>0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N24" sqref="N2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4" ht="21.75" thickBot="1">
      <c r="A2" s="177" t="s">
        <v>75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4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4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4" s="58" customFormat="1" ht="15" customHeight="1">
      <c r="A5" s="86" t="s">
        <v>20</v>
      </c>
      <c r="B5" s="113">
        <v>700</v>
      </c>
      <c r="C5" s="96">
        <v>700</v>
      </c>
      <c r="D5" s="96">
        <v>700</v>
      </c>
      <c r="E5" s="96">
        <v>700</v>
      </c>
      <c r="F5" s="96">
        <v>700</v>
      </c>
      <c r="G5" s="96">
        <v>700</v>
      </c>
      <c r="H5" s="96">
        <v>700</v>
      </c>
      <c r="I5" s="96">
        <v>700</v>
      </c>
      <c r="J5" s="96">
        <v>700</v>
      </c>
      <c r="K5" s="96">
        <f>500+700</f>
        <v>1200</v>
      </c>
      <c r="L5" s="96">
        <f>500+700</f>
        <v>1200</v>
      </c>
      <c r="M5" s="97">
        <v>0</v>
      </c>
    </row>
    <row r="6" spans="1:14" s="58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3">
        <v>122.6</v>
      </c>
      <c r="C7" s="96">
        <v>31.39</v>
      </c>
      <c r="D7" s="96">
        <v>78.510000000000005</v>
      </c>
      <c r="E7" s="96">
        <v>80.73</v>
      </c>
      <c r="F7" s="96">
        <v>123.29</v>
      </c>
      <c r="G7" s="96">
        <v>126.36</v>
      </c>
      <c r="H7" s="96">
        <v>126.34</v>
      </c>
      <c r="I7" s="96">
        <v>89.96</v>
      </c>
      <c r="J7" s="96">
        <v>121.54</v>
      </c>
      <c r="K7" s="96">
        <v>120.53</v>
      </c>
      <c r="L7" s="96">
        <v>103.68</v>
      </c>
      <c r="M7" s="97">
        <v>0</v>
      </c>
    </row>
    <row r="8" spans="1:14" s="58" customFormat="1" ht="15" customHeight="1">
      <c r="A8" s="87" t="s">
        <v>23</v>
      </c>
      <c r="B8" s="113">
        <v>61.95</v>
      </c>
      <c r="C8" s="96">
        <v>61.95</v>
      </c>
      <c r="D8" s="96">
        <v>61.95</v>
      </c>
      <c r="E8" s="96">
        <v>61.95</v>
      </c>
      <c r="F8" s="96">
        <v>61.95</v>
      </c>
      <c r="G8" s="96">
        <v>61.95</v>
      </c>
      <c r="H8" s="96">
        <v>61.95</v>
      </c>
      <c r="I8" s="96">
        <v>69.06</v>
      </c>
      <c r="J8" s="96">
        <v>66.12</v>
      </c>
      <c r="K8" s="96">
        <v>66.12</v>
      </c>
      <c r="L8" s="96">
        <v>66.12</v>
      </c>
      <c r="M8" s="97">
        <v>0</v>
      </c>
    </row>
    <row r="9" spans="1:14" s="58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13">
        <v>2686.77</v>
      </c>
      <c r="C12" s="98">
        <f>2426.67+800</f>
        <v>3226.67</v>
      </c>
      <c r="D12" s="98">
        <v>2686.67</v>
      </c>
      <c r="E12" s="96">
        <v>2600</v>
      </c>
      <c r="F12" s="98">
        <v>2686.67</v>
      </c>
      <c r="G12" s="96">
        <v>2600</v>
      </c>
      <c r="H12" s="98">
        <v>2686.67</v>
      </c>
      <c r="I12" s="98">
        <v>2686.67</v>
      </c>
      <c r="J12" s="96">
        <v>2600</v>
      </c>
      <c r="K12" s="98">
        <v>2686.67</v>
      </c>
      <c r="L12" s="96">
        <v>2600</v>
      </c>
      <c r="M12" s="99">
        <v>0</v>
      </c>
    </row>
    <row r="13" spans="1:14" s="64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64" t="s">
        <v>41</v>
      </c>
    </row>
    <row r="14" spans="1:14" s="63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  <c r="N14" s="64"/>
    </row>
    <row r="15" spans="1:14" s="64" customFormat="1" ht="15" customHeight="1">
      <c r="A15" s="88" t="s">
        <v>30</v>
      </c>
      <c r="B15" s="114">
        <v>0</v>
      </c>
      <c r="C15" s="98">
        <f>120.93</f>
        <v>120.93</v>
      </c>
      <c r="D15" s="98">
        <f>82.46+54.05+153.24</f>
        <v>289.75</v>
      </c>
      <c r="E15" s="96">
        <v>0</v>
      </c>
      <c r="F15" s="96">
        <v>68.12</v>
      </c>
      <c r="G15" s="98">
        <v>0</v>
      </c>
      <c r="H15" s="98">
        <v>99.3</v>
      </c>
      <c r="I15" s="98">
        <v>118.42</v>
      </c>
      <c r="J15" s="98">
        <v>0</v>
      </c>
      <c r="K15" s="98">
        <v>162.44999999999999</v>
      </c>
      <c r="L15" s="98">
        <v>95.6</v>
      </c>
      <c r="M15" s="99">
        <v>0</v>
      </c>
    </row>
    <row r="16" spans="1:14" s="64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  <c r="N17" s="64"/>
    </row>
    <row r="18" spans="1:14" s="58" customFormat="1" ht="15" customHeight="1" thickBot="1">
      <c r="A18" s="90" t="s">
        <v>33</v>
      </c>
      <c r="B18" s="11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480</v>
      </c>
      <c r="I18" s="98">
        <v>0</v>
      </c>
      <c r="J18" s="98">
        <v>280</v>
      </c>
      <c r="K18" s="98">
        <v>0</v>
      </c>
      <c r="L18" s="98">
        <v>0</v>
      </c>
      <c r="M18" s="99">
        <v>0</v>
      </c>
      <c r="N18" s="64"/>
    </row>
    <row r="19" spans="1:14" s="58" customFormat="1" ht="15" customHeight="1" thickBot="1">
      <c r="A19" s="67" t="s">
        <v>34</v>
      </c>
      <c r="B19" s="69">
        <f>SUM(B4:B18)</f>
        <v>3571.32</v>
      </c>
      <c r="C19" s="101">
        <f t="shared" ref="C19:M19" si="0">SUM(C5:C18)</f>
        <v>4140.9400000000005</v>
      </c>
      <c r="D19" s="101">
        <f t="shared" si="0"/>
        <v>3816.88</v>
      </c>
      <c r="E19" s="101">
        <f t="shared" si="0"/>
        <v>3442.6800000000003</v>
      </c>
      <c r="F19" s="101">
        <f t="shared" si="0"/>
        <v>3640.0299999999997</v>
      </c>
      <c r="G19" s="101">
        <f t="shared" si="0"/>
        <v>3488.31</v>
      </c>
      <c r="H19" s="101">
        <f t="shared" si="0"/>
        <v>4154.26</v>
      </c>
      <c r="I19" s="101">
        <f t="shared" si="0"/>
        <v>3664.11</v>
      </c>
      <c r="J19" s="101">
        <f t="shared" si="0"/>
        <v>3767.66</v>
      </c>
      <c r="K19" s="101">
        <f t="shared" si="0"/>
        <v>4235.7700000000004</v>
      </c>
      <c r="L19" s="101">
        <f t="shared" si="0"/>
        <v>4065.4</v>
      </c>
      <c r="M19" s="101">
        <f t="shared" si="0"/>
        <v>0</v>
      </c>
      <c r="N19" s="64"/>
    </row>
    <row r="20" spans="1:14" s="58" customFormat="1" ht="15" customHeight="1" thickBot="1">
      <c r="A20" s="70" t="s">
        <v>14</v>
      </c>
      <c r="B20" s="116">
        <v>0</v>
      </c>
      <c r="C20" s="98">
        <v>0</v>
      </c>
      <c r="D20" s="98">
        <v>22.32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69">
        <f>B19-B20</f>
        <v>3571.32</v>
      </c>
      <c r="C21" s="101">
        <f t="shared" ref="C21:M21" si="1">C19-C20</f>
        <v>4140.9400000000005</v>
      </c>
      <c r="D21" s="101">
        <f t="shared" si="1"/>
        <v>3794.56</v>
      </c>
      <c r="E21" s="101">
        <f t="shared" si="1"/>
        <v>3442.6800000000003</v>
      </c>
      <c r="F21" s="101">
        <f t="shared" si="1"/>
        <v>3640.0299999999997</v>
      </c>
      <c r="G21" s="101">
        <f t="shared" si="1"/>
        <v>3488.31</v>
      </c>
      <c r="H21" s="101">
        <f t="shared" si="1"/>
        <v>4154.26</v>
      </c>
      <c r="I21" s="101">
        <f t="shared" si="1"/>
        <v>3664.11</v>
      </c>
      <c r="J21" s="101">
        <f t="shared" si="1"/>
        <v>3767.66</v>
      </c>
      <c r="K21" s="101">
        <f t="shared" si="1"/>
        <v>4235.7700000000004</v>
      </c>
      <c r="L21" s="101">
        <f t="shared" si="1"/>
        <v>4065.4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17">
        <f>AVERAGE(B21)</f>
        <v>3571.32</v>
      </c>
      <c r="C22" s="111">
        <f>AVERAGE($B$21:C21)</f>
        <v>3856.13</v>
      </c>
      <c r="D22" s="111">
        <f>AVERAGE($B$21:D21)</f>
        <v>3835.6066666666666</v>
      </c>
      <c r="E22" s="111">
        <f>AVERAGE($B$21:E21)</f>
        <v>3737.375</v>
      </c>
      <c r="F22" s="111">
        <f>AVERAGE($B$21:F21)</f>
        <v>3717.9059999999999</v>
      </c>
      <c r="G22" s="111">
        <f>AVERAGE($B$21:G21)</f>
        <v>3679.64</v>
      </c>
      <c r="H22" s="111">
        <f>AVERAGE($B$21:H21)</f>
        <v>3747.4428571428571</v>
      </c>
      <c r="I22" s="111">
        <f>AVERAGE($B$21:I21)</f>
        <v>3737.0262499999999</v>
      </c>
      <c r="J22" s="111">
        <f>AVERAGE($B$21:J21)</f>
        <v>3740.4299999999994</v>
      </c>
      <c r="K22" s="111">
        <f>AVERAGE($B$21:K21)</f>
        <v>3789.9639999999999</v>
      </c>
      <c r="L22" s="111">
        <f>AVERAGE($B$21:L21)</f>
        <v>3815.0036363636364</v>
      </c>
      <c r="M22" s="112"/>
    </row>
    <row r="23" spans="1:14" s="58" customFormat="1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K19" sqref="K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 ht="15" customHeight="1">
      <c r="A6" s="87" t="s">
        <v>21</v>
      </c>
      <c r="B6" s="113">
        <v>0</v>
      </c>
      <c r="C6" s="57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 ht="15" customHeight="1">
      <c r="A7" s="87" t="s">
        <v>22</v>
      </c>
      <c r="B7" s="113">
        <v>0</v>
      </c>
      <c r="C7" s="57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 ht="15" customHeight="1">
      <c r="A8" s="87" t="s">
        <v>23</v>
      </c>
      <c r="B8" s="113">
        <v>0</v>
      </c>
      <c r="C8" s="57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 ht="15" customHeight="1">
      <c r="A9" s="87" t="s">
        <v>24</v>
      </c>
      <c r="B9" s="113">
        <v>0</v>
      </c>
      <c r="C9" s="57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 s="15" customFormat="1" ht="15" customHeight="1">
      <c r="A12" s="88" t="s">
        <v>27</v>
      </c>
      <c r="B12" s="113">
        <v>0</v>
      </c>
      <c r="C12" s="57">
        <v>0</v>
      </c>
      <c r="D12" s="24">
        <v>0</v>
      </c>
      <c r="E12" s="23">
        <v>0</v>
      </c>
      <c r="F12" s="25">
        <v>0</v>
      </c>
      <c r="G12" s="25">
        <v>0</v>
      </c>
      <c r="H12" s="25">
        <v>0</v>
      </c>
      <c r="I12" s="24">
        <v>0</v>
      </c>
      <c r="J12" s="25">
        <v>0</v>
      </c>
      <c r="K12" s="25">
        <v>0</v>
      </c>
      <c r="L12" s="25">
        <v>0</v>
      </c>
      <c r="M12" s="35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 s="15" customFormat="1" ht="15" customHeight="1">
      <c r="A14" s="88" t="s">
        <v>29</v>
      </c>
      <c r="B14" s="113">
        <v>0</v>
      </c>
      <c r="C14" s="57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" customHeight="1" thickBot="1">
      <c r="A19" s="67" t="s">
        <v>34</v>
      </c>
      <c r="B19" s="69">
        <f>SUM(B5:B18)</f>
        <v>0</v>
      </c>
      <c r="C19" s="69">
        <f t="shared" ref="C19:J19" si="0">SUM(C5:C18)</f>
        <v>0</v>
      </c>
      <c r="D19" s="69">
        <f t="shared" si="0"/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ref="K19" si="1">SUM(K5:K18)</f>
        <v>0</v>
      </c>
      <c r="L19" s="22">
        <f t="shared" ref="L19:M19" si="2">SUM(L5:L18)</f>
        <v>0</v>
      </c>
      <c r="M19" s="22">
        <f t="shared" si="2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24">
        <v>0</v>
      </c>
      <c r="L20" s="24">
        <v>0</v>
      </c>
      <c r="M20" s="34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22">
        <f t="shared" ref="K21:M21" si="3">K19-K20</f>
        <v>0</v>
      </c>
      <c r="L21" s="22">
        <f t="shared" si="3"/>
        <v>0</v>
      </c>
      <c r="M21" s="22">
        <f t="shared" si="3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53"/>
      <c r="L22" s="53"/>
      <c r="M22" s="54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  <row r="26" spans="1:13">
      <c r="A26" s="29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0" sqref="L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58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03">
        <v>4650</v>
      </c>
      <c r="C12" s="98">
        <v>4200</v>
      </c>
      <c r="D12" s="98">
        <v>4650</v>
      </c>
      <c r="E12" s="96">
        <v>4500</v>
      </c>
      <c r="F12" s="98">
        <v>4650</v>
      </c>
      <c r="G12" s="96">
        <v>4500</v>
      </c>
      <c r="H12" s="98">
        <v>4650</v>
      </c>
      <c r="I12" s="98">
        <v>4650</v>
      </c>
      <c r="J12" s="98">
        <v>4500</v>
      </c>
      <c r="K12" s="98">
        <v>4650</v>
      </c>
      <c r="L12" s="98">
        <v>4500</v>
      </c>
      <c r="M12" s="99">
        <v>0</v>
      </c>
    </row>
    <row r="13" spans="1:13" s="64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01">
        <f>SUM(B5:B18)</f>
        <v>4650</v>
      </c>
      <c r="C19" s="101">
        <f t="shared" ref="C19:M19" si="0">SUM(C5:C18)</f>
        <v>4200</v>
      </c>
      <c r="D19" s="101">
        <f t="shared" si="0"/>
        <v>4650</v>
      </c>
      <c r="E19" s="101">
        <f t="shared" si="0"/>
        <v>4500</v>
      </c>
      <c r="F19" s="101">
        <f t="shared" si="0"/>
        <v>4650</v>
      </c>
      <c r="G19" s="101">
        <f t="shared" si="0"/>
        <v>4500</v>
      </c>
      <c r="H19" s="101">
        <f t="shared" si="0"/>
        <v>4650</v>
      </c>
      <c r="I19" s="101">
        <f t="shared" si="0"/>
        <v>4650</v>
      </c>
      <c r="J19" s="101">
        <f t="shared" si="0"/>
        <v>4500</v>
      </c>
      <c r="K19" s="101">
        <f t="shared" si="0"/>
        <v>4650</v>
      </c>
      <c r="L19" s="101">
        <f t="shared" si="0"/>
        <v>4500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05">
        <v>50</v>
      </c>
      <c r="C20" s="98">
        <v>0</v>
      </c>
      <c r="D20" s="98">
        <v>50</v>
      </c>
      <c r="E20" s="98">
        <v>0</v>
      </c>
      <c r="F20" s="98">
        <v>50</v>
      </c>
      <c r="G20" s="98">
        <v>0</v>
      </c>
      <c r="H20" s="98">
        <v>50</v>
      </c>
      <c r="I20" s="98">
        <v>50</v>
      </c>
      <c r="J20" s="98">
        <v>0</v>
      </c>
      <c r="K20" s="98">
        <v>50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01">
        <f>B19-B20</f>
        <v>4600</v>
      </c>
      <c r="C21" s="101">
        <f t="shared" ref="C21:M21" si="1">C19-C20</f>
        <v>4200</v>
      </c>
      <c r="D21" s="101">
        <f t="shared" si="1"/>
        <v>4600</v>
      </c>
      <c r="E21" s="101">
        <f t="shared" si="1"/>
        <v>4500</v>
      </c>
      <c r="F21" s="101">
        <f t="shared" si="1"/>
        <v>4600</v>
      </c>
      <c r="G21" s="101">
        <f t="shared" si="1"/>
        <v>4500</v>
      </c>
      <c r="H21" s="101">
        <f t="shared" si="1"/>
        <v>4600</v>
      </c>
      <c r="I21" s="101">
        <f t="shared" si="1"/>
        <v>4600</v>
      </c>
      <c r="J21" s="101">
        <f t="shared" si="1"/>
        <v>4500</v>
      </c>
      <c r="K21" s="101">
        <f t="shared" si="1"/>
        <v>4600</v>
      </c>
      <c r="L21" s="101">
        <f t="shared" si="1"/>
        <v>4500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0">
        <f>AVERAGE(B21)</f>
        <v>4600</v>
      </c>
      <c r="C22" s="111">
        <f>AVERAGE($B$21:C21)</f>
        <v>4400</v>
      </c>
      <c r="D22" s="111">
        <f>AVERAGE($B$21:D21)</f>
        <v>4466.666666666667</v>
      </c>
      <c r="E22" s="111">
        <f>AVERAGE($B$21:E21)</f>
        <v>4475</v>
      </c>
      <c r="F22" s="111">
        <f>AVERAGE($B$21:F21)</f>
        <v>4500</v>
      </c>
      <c r="G22" s="111">
        <f>AVERAGE($B$21:G21)</f>
        <v>4500</v>
      </c>
      <c r="H22" s="111">
        <f>AVERAGE($B$21:H21)</f>
        <v>4514.2857142857147</v>
      </c>
      <c r="I22" s="111">
        <f>AVERAGE($B$21:I21)</f>
        <v>4525</v>
      </c>
      <c r="J22" s="111">
        <f>AVERAGE($B$21:J21)</f>
        <v>4522.2222222222226</v>
      </c>
      <c r="K22" s="111">
        <f>AVERAGE($B$21:K21)</f>
        <v>4530</v>
      </c>
      <c r="L22" s="111">
        <f>AVERAGE($B$21:L21)</f>
        <v>4527.272727272727</v>
      </c>
      <c r="M22" s="112"/>
    </row>
    <row r="23" spans="1:13" s="58" customFormat="1" ht="15" customHeight="1" thickBot="1">
      <c r="A23" s="91" t="s">
        <v>13</v>
      </c>
      <c r="B23" s="106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0" sqref="L20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46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1500</v>
      </c>
      <c r="C5" s="96">
        <v>1500</v>
      </c>
      <c r="D5" s="96">
        <v>1500</v>
      </c>
      <c r="E5" s="96">
        <v>1500</v>
      </c>
      <c r="F5" s="96">
        <v>1500</v>
      </c>
      <c r="G5" s="96">
        <v>1500</v>
      </c>
      <c r="H5" s="96">
        <v>1500</v>
      </c>
      <c r="I5" s="96">
        <v>1500</v>
      </c>
      <c r="J5" s="96">
        <v>1500</v>
      </c>
      <c r="K5" s="96">
        <v>1500</v>
      </c>
      <c r="L5" s="96">
        <v>1500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196.82</v>
      </c>
      <c r="C7" s="96">
        <v>240.23</v>
      </c>
      <c r="D7" s="96">
        <v>300.22000000000003</v>
      </c>
      <c r="E7" s="96">
        <v>284.86</v>
      </c>
      <c r="F7" s="96">
        <v>224.92</v>
      </c>
      <c r="G7" s="96">
        <v>245.07</v>
      </c>
      <c r="H7" s="96">
        <v>194.4</v>
      </c>
      <c r="I7" s="96">
        <v>135.01</v>
      </c>
      <c r="J7" s="96">
        <v>193.5</v>
      </c>
      <c r="K7" s="96">
        <v>315.60000000000002</v>
      </c>
      <c r="L7" s="96">
        <v>255.67</v>
      </c>
      <c r="M7" s="97">
        <v>0</v>
      </c>
    </row>
    <row r="8" spans="1:13" ht="15" customHeight="1">
      <c r="A8" s="87" t="s">
        <v>23</v>
      </c>
      <c r="B8" s="113">
        <v>83.6</v>
      </c>
      <c r="C8" s="96">
        <v>83.6</v>
      </c>
      <c r="D8" s="96">
        <v>83.6</v>
      </c>
      <c r="E8" s="96">
        <v>83.6</v>
      </c>
      <c r="F8" s="96">
        <v>83.6</v>
      </c>
      <c r="G8" s="96">
        <v>83.6</v>
      </c>
      <c r="H8" s="96">
        <v>83.6</v>
      </c>
      <c r="I8" s="96">
        <v>83.6</v>
      </c>
      <c r="J8" s="96">
        <v>89.16</v>
      </c>
      <c r="K8" s="96">
        <v>89.16</v>
      </c>
      <c r="L8" s="96">
        <v>89.16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176.18</v>
      </c>
      <c r="C10" s="96">
        <v>152.19</v>
      </c>
      <c r="D10" s="96">
        <v>197.63</v>
      </c>
      <c r="E10" s="96">
        <v>185.95</v>
      </c>
      <c r="F10" s="96">
        <v>156.01</v>
      </c>
      <c r="G10" s="96">
        <v>175.56</v>
      </c>
      <c r="H10" s="96">
        <v>171.52</v>
      </c>
      <c r="I10" s="96">
        <v>146.91</v>
      </c>
      <c r="J10" s="96">
        <v>143.05000000000001</v>
      </c>
      <c r="K10" s="96">
        <v>149.94</v>
      </c>
      <c r="L10" s="96">
        <v>141.57</v>
      </c>
      <c r="M10" s="97">
        <v>0</v>
      </c>
    </row>
    <row r="11" spans="1:13" s="9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2800</v>
      </c>
      <c r="C12" s="98">
        <v>2800</v>
      </c>
      <c r="D12" s="98">
        <v>2800</v>
      </c>
      <c r="E12" s="98">
        <v>2800</v>
      </c>
      <c r="F12" s="98">
        <v>2800</v>
      </c>
      <c r="G12" s="98">
        <v>2800</v>
      </c>
      <c r="H12" s="98">
        <v>2800</v>
      </c>
      <c r="I12" s="98">
        <v>2800</v>
      </c>
      <c r="J12" s="98">
        <v>2800</v>
      </c>
      <c r="K12" s="98">
        <v>2800</v>
      </c>
      <c r="L12" s="98">
        <v>2800</v>
      </c>
      <c r="M12" s="99">
        <v>0</v>
      </c>
    </row>
    <row r="13" spans="1:13" s="9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170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3.5" thickBot="1">
      <c r="A19" s="67" t="s">
        <v>34</v>
      </c>
      <c r="B19" s="69">
        <f t="shared" ref="B19" si="0">SUM(B5:B18)</f>
        <v>4756.6000000000004</v>
      </c>
      <c r="C19" s="101">
        <f t="shared" ref="C19:M19" si="1">SUM(C5:C18)</f>
        <v>4776.0200000000004</v>
      </c>
      <c r="D19" s="101">
        <f t="shared" si="1"/>
        <v>4881.45</v>
      </c>
      <c r="E19" s="101">
        <f t="shared" si="1"/>
        <v>4854.41</v>
      </c>
      <c r="F19" s="101">
        <f t="shared" si="1"/>
        <v>4764.53</v>
      </c>
      <c r="G19" s="101">
        <f t="shared" si="1"/>
        <v>4804.2299999999996</v>
      </c>
      <c r="H19" s="101">
        <f t="shared" si="1"/>
        <v>4749.5200000000004</v>
      </c>
      <c r="I19" s="101">
        <f t="shared" si="1"/>
        <v>4665.5200000000004</v>
      </c>
      <c r="J19" s="101">
        <f t="shared" si="1"/>
        <v>4725.71</v>
      </c>
      <c r="K19" s="101">
        <f t="shared" si="1"/>
        <v>4854.7</v>
      </c>
      <c r="L19" s="101">
        <f t="shared" si="1"/>
        <v>4786.3999999999996</v>
      </c>
      <c r="M19" s="101">
        <f t="shared" si="1"/>
        <v>0</v>
      </c>
    </row>
    <row r="20" spans="1:13" ht="13.5" thickBot="1">
      <c r="A20" s="70" t="s">
        <v>14</v>
      </c>
      <c r="B20" s="116">
        <v>156.6</v>
      </c>
      <c r="C20" s="98">
        <f>186.76+1</f>
        <v>187.76</v>
      </c>
      <c r="D20" s="98">
        <v>281.45</v>
      </c>
      <c r="E20" s="98">
        <v>254.41</v>
      </c>
      <c r="F20" s="98">
        <v>164.53</v>
      </c>
      <c r="G20" s="98">
        <v>204.23</v>
      </c>
      <c r="H20" s="98">
        <v>149.52000000000001</v>
      </c>
      <c r="I20" s="98">
        <v>65.52</v>
      </c>
      <c r="J20" s="98">
        <v>125.71</v>
      </c>
      <c r="K20" s="98">
        <v>254.7</v>
      </c>
      <c r="L20" s="98">
        <v>186.4</v>
      </c>
      <c r="M20" s="99">
        <v>0</v>
      </c>
    </row>
    <row r="21" spans="1:13" ht="13.5" thickBot="1">
      <c r="A21" s="67" t="s">
        <v>15</v>
      </c>
      <c r="B21" s="69">
        <f>B19-B20</f>
        <v>4600</v>
      </c>
      <c r="C21" s="101">
        <f t="shared" ref="C21:M21" si="2">C19-C20</f>
        <v>4588.26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4600</v>
      </c>
      <c r="K21" s="101">
        <f t="shared" si="2"/>
        <v>4600</v>
      </c>
      <c r="L21" s="101">
        <f t="shared" si="2"/>
        <v>4600</v>
      </c>
      <c r="M21" s="101">
        <f t="shared" si="2"/>
        <v>0</v>
      </c>
    </row>
    <row r="22" spans="1:13" ht="13.5" thickBot="1">
      <c r="A22" s="70" t="s">
        <v>12</v>
      </c>
      <c r="B22" s="117">
        <f>AVERAGE(B21)</f>
        <v>4600</v>
      </c>
      <c r="C22" s="111">
        <f>AVERAGE($B$21:C21)</f>
        <v>4594.13</v>
      </c>
      <c r="D22" s="111">
        <f>AVERAGE($B$21:D21)</f>
        <v>4596.086666666667</v>
      </c>
      <c r="E22" s="111">
        <f>AVERAGE($B$21:E21)</f>
        <v>4597.0650000000005</v>
      </c>
      <c r="F22" s="111">
        <f>AVERAGE($B$21:F21)</f>
        <v>4597.652</v>
      </c>
      <c r="G22" s="111">
        <f>AVERAGE($B$21:G21)</f>
        <v>4598.043333333334</v>
      </c>
      <c r="H22" s="111">
        <f>AVERAGE($B$21:H21)</f>
        <v>4598.3228571428572</v>
      </c>
      <c r="I22" s="111">
        <f>AVERAGE($B$21:I21)</f>
        <v>4598.5325000000003</v>
      </c>
      <c r="J22" s="111">
        <f>AVERAGE($B$21:J21)</f>
        <v>4598.695555555556</v>
      </c>
      <c r="K22" s="111">
        <f>AVERAGE($B$21:K21)</f>
        <v>4598.826</v>
      </c>
      <c r="L22" s="111">
        <f>AVERAGE($B$21:L21)</f>
        <v>4598.9327272727278</v>
      </c>
      <c r="M22" s="112"/>
    </row>
    <row r="23" spans="1:13" ht="13.5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M25"/>
  <sheetViews>
    <sheetView topLeftCell="A4" zoomScaleNormal="100" workbookViewId="0">
      <selection activeCell="D20" sqref="D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2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2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2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2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2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2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3"/>
    </row>
    <row r="12" spans="1:13" s="17" customFormat="1" ht="15" customHeight="1">
      <c r="A12" s="88" t="s">
        <v>27</v>
      </c>
      <c r="B12" s="114">
        <v>4650</v>
      </c>
      <c r="C12" s="60"/>
      <c r="D12" s="60"/>
      <c r="E12" s="160"/>
      <c r="F12" s="160"/>
      <c r="G12" s="160"/>
      <c r="H12" s="160"/>
      <c r="I12" s="161"/>
      <c r="J12" s="160"/>
      <c r="K12" s="160"/>
      <c r="L12" s="160"/>
      <c r="M12" s="164"/>
    </row>
    <row r="13" spans="1:13" s="15" customFormat="1" ht="15" customHeight="1">
      <c r="A13" s="88" t="s">
        <v>28</v>
      </c>
      <c r="B13" s="114">
        <v>0</v>
      </c>
      <c r="C13" s="60"/>
      <c r="D13" s="60"/>
      <c r="E13" s="56"/>
      <c r="F13" s="56"/>
      <c r="G13" s="160"/>
      <c r="H13" s="160"/>
      <c r="I13" s="160"/>
      <c r="J13" s="160"/>
      <c r="K13" s="160"/>
      <c r="L13" s="160"/>
      <c r="M13" s="164"/>
    </row>
    <row r="14" spans="1:13" s="17" customFormat="1" ht="15" customHeight="1">
      <c r="A14" s="88" t="s">
        <v>29</v>
      </c>
      <c r="B14" s="114">
        <v>0</v>
      </c>
      <c r="C14" s="60"/>
      <c r="D14" s="60"/>
      <c r="E14" s="56"/>
      <c r="F14" s="56"/>
      <c r="G14" s="160"/>
      <c r="H14" s="160"/>
      <c r="I14" s="160"/>
      <c r="J14" s="160"/>
      <c r="K14" s="160"/>
      <c r="L14" s="160"/>
      <c r="M14" s="164"/>
    </row>
    <row r="15" spans="1:13" s="15" customFormat="1" ht="15" customHeight="1">
      <c r="A15" s="88" t="s">
        <v>30</v>
      </c>
      <c r="B15" s="114"/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3"/>
    </row>
    <row r="16" spans="1:13" s="15" customFormat="1" ht="15" customHeight="1">
      <c r="A16" s="88" t="s">
        <v>31</v>
      </c>
      <c r="B16" s="114">
        <v>0</v>
      </c>
      <c r="C16" s="60"/>
      <c r="D16" s="60"/>
      <c r="E16" s="56"/>
      <c r="F16" s="56"/>
      <c r="G16" s="160"/>
      <c r="H16" s="160"/>
      <c r="I16" s="160"/>
      <c r="J16" s="160"/>
      <c r="K16" s="160"/>
      <c r="L16" s="160"/>
      <c r="M16" s="164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0"/>
      <c r="H17" s="160"/>
      <c r="I17" s="160"/>
      <c r="J17" s="160"/>
      <c r="K17" s="160"/>
      <c r="L17" s="160"/>
      <c r="M17" s="164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3"/>
    </row>
    <row r="19" spans="1:13" ht="15" customHeight="1" thickBot="1">
      <c r="A19" s="67" t="s">
        <v>34</v>
      </c>
      <c r="B19" s="69">
        <f t="shared" ref="B19" si="0">SUM(B5:B18)</f>
        <v>4650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6">
        <v>50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3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8"/>
    </row>
    <row r="23" spans="1:13" ht="15" customHeight="1" thickBot="1">
      <c r="A23" s="91" t="s">
        <v>13</v>
      </c>
      <c r="B23" s="118"/>
      <c r="C23" s="72"/>
      <c r="D23" s="165"/>
      <c r="E23" s="165"/>
      <c r="F23" s="165"/>
      <c r="G23" s="165"/>
      <c r="H23" s="165"/>
      <c r="I23" s="166"/>
      <c r="J23" s="165"/>
      <c r="K23" s="165"/>
      <c r="L23" s="165"/>
      <c r="M23" s="167"/>
    </row>
    <row r="24" spans="1:13" ht="15">
      <c r="A24"/>
    </row>
    <row r="25" spans="1:13">
      <c r="A25" s="32" t="s">
        <v>85</v>
      </c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83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58" customFormat="1" ht="15" customHeight="1">
      <c r="A5" s="86" t="s">
        <v>20</v>
      </c>
      <c r="B5" s="79">
        <v>0</v>
      </c>
      <c r="C5" s="57">
        <v>2700</v>
      </c>
      <c r="D5" s="57">
        <v>2700</v>
      </c>
      <c r="E5" s="57">
        <v>2700</v>
      </c>
      <c r="F5" s="57">
        <v>2700</v>
      </c>
      <c r="G5" s="57">
        <v>2700</v>
      </c>
      <c r="H5" s="57">
        <v>2700</v>
      </c>
      <c r="I5" s="57">
        <v>2700</v>
      </c>
      <c r="J5" s="57">
        <v>2700</v>
      </c>
      <c r="K5" s="57">
        <v>2700</v>
      </c>
      <c r="L5" s="57">
        <v>2700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1900</v>
      </c>
      <c r="D12" s="61">
        <v>1900</v>
      </c>
      <c r="E12" s="61">
        <v>1900</v>
      </c>
      <c r="F12" s="61">
        <v>1900</v>
      </c>
      <c r="G12" s="61">
        <v>1900</v>
      </c>
      <c r="H12" s="61">
        <v>1900</v>
      </c>
      <c r="I12" s="61">
        <v>1900</v>
      </c>
      <c r="J12" s="61">
        <v>1900</v>
      </c>
      <c r="K12" s="61">
        <v>1900</v>
      </c>
      <c r="L12" s="61">
        <v>1900</v>
      </c>
      <c r="M12" s="172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4600</v>
      </c>
      <c r="D19" s="69">
        <f t="shared" ref="D19:M19" si="0">SUM(D5:D18)</f>
        <v>4600</v>
      </c>
      <c r="E19" s="69">
        <f t="shared" si="0"/>
        <v>4600</v>
      </c>
      <c r="F19" s="69">
        <f t="shared" si="0"/>
        <v>4600</v>
      </c>
      <c r="G19" s="69">
        <f t="shared" si="0"/>
        <v>4600</v>
      </c>
      <c r="H19" s="69">
        <f t="shared" si="0"/>
        <v>4600</v>
      </c>
      <c r="I19" s="69">
        <f t="shared" si="0"/>
        <v>4600</v>
      </c>
      <c r="J19" s="69">
        <f t="shared" si="0"/>
        <v>4600</v>
      </c>
      <c r="K19" s="69">
        <f t="shared" si="0"/>
        <v>4600</v>
      </c>
      <c r="L19" s="69">
        <f t="shared" si="0"/>
        <v>4600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1900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2700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4600</v>
      </c>
      <c r="L21" s="69">
        <f t="shared" si="1"/>
        <v>4600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2700</v>
      </c>
      <c r="D22" s="77">
        <f>AVERAGE($C$21:D21)</f>
        <v>3650</v>
      </c>
      <c r="E22" s="77">
        <f>AVERAGE($C$21:E21)</f>
        <v>3966.6666666666665</v>
      </c>
      <c r="F22" s="77">
        <f>AVERAGE($C$21:F21)</f>
        <v>4125</v>
      </c>
      <c r="G22" s="77">
        <f>AVERAGE($C$21:G21)</f>
        <v>4220</v>
      </c>
      <c r="H22" s="77">
        <f>AVERAGE($C$21:H21)</f>
        <v>4283.333333333333</v>
      </c>
      <c r="I22" s="77">
        <f>AVERAGE($C$21:I21)</f>
        <v>4328.5714285714284</v>
      </c>
      <c r="J22" s="77">
        <f>AVERAGE($C$21:J21)</f>
        <v>4362.5</v>
      </c>
      <c r="K22" s="77">
        <f>AVERAGE($C$21:K21)</f>
        <v>4388.8888888888887</v>
      </c>
      <c r="L22" s="77">
        <f>AVERAGE($C$21:L21)</f>
        <v>4410</v>
      </c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M26"/>
  <sheetViews>
    <sheetView topLeftCell="A13" zoomScaleNormal="100" workbookViewId="0">
      <selection activeCell="D20" sqref="D20"/>
    </sheetView>
  </sheetViews>
  <sheetFormatPr defaultRowHeight="15"/>
  <cols>
    <col min="1" max="1" width="63" customWidth="1"/>
    <col min="2" max="13" width="9.7109375" customWidth="1"/>
  </cols>
  <sheetData>
    <row r="1" spans="1:13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80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6" customFormat="1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76" customFormat="1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9">
        <v>2400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2"/>
    </row>
    <row r="6" spans="1:13" ht="15" customHeight="1">
      <c r="A6" s="86" t="s">
        <v>21</v>
      </c>
      <c r="B6" s="119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2"/>
    </row>
    <row r="7" spans="1:13" ht="15" customHeight="1">
      <c r="A7" s="86" t="s">
        <v>22</v>
      </c>
      <c r="B7" s="119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2"/>
    </row>
    <row r="8" spans="1:13" ht="15" customHeight="1">
      <c r="A8" s="86" t="s">
        <v>23</v>
      </c>
      <c r="B8" s="119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2"/>
    </row>
    <row r="9" spans="1:13" ht="15" customHeight="1">
      <c r="A9" s="86" t="s">
        <v>24</v>
      </c>
      <c r="B9" s="119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2"/>
    </row>
    <row r="10" spans="1:13" ht="15" customHeight="1">
      <c r="A10" s="86" t="s">
        <v>25</v>
      </c>
      <c r="B10" s="119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2"/>
    </row>
    <row r="11" spans="1:13" ht="15" customHeight="1">
      <c r="A11" s="86" t="s">
        <v>26</v>
      </c>
      <c r="B11" s="126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3"/>
    </row>
    <row r="12" spans="1:13" ht="15" customHeight="1">
      <c r="A12" s="86" t="s">
        <v>27</v>
      </c>
      <c r="B12" s="126">
        <v>4940</v>
      </c>
      <c r="C12" s="60"/>
      <c r="D12" s="60"/>
      <c r="E12" s="160"/>
      <c r="F12" s="160"/>
      <c r="G12" s="160"/>
      <c r="H12" s="160"/>
      <c r="I12" s="161"/>
      <c r="J12" s="160"/>
      <c r="K12" s="160"/>
      <c r="L12" s="160"/>
      <c r="M12" s="164"/>
    </row>
    <row r="13" spans="1:13" ht="15" customHeight="1">
      <c r="A13" s="86" t="s">
        <v>28</v>
      </c>
      <c r="B13" s="126">
        <v>0</v>
      </c>
      <c r="C13" s="60"/>
      <c r="D13" s="60"/>
      <c r="E13" s="56"/>
      <c r="F13" s="56"/>
      <c r="G13" s="160"/>
      <c r="H13" s="160"/>
      <c r="I13" s="160"/>
      <c r="J13" s="160"/>
      <c r="K13" s="160"/>
      <c r="L13" s="160"/>
      <c r="M13" s="164"/>
    </row>
    <row r="14" spans="1:13" ht="15" customHeight="1">
      <c r="A14" s="88" t="s">
        <v>29</v>
      </c>
      <c r="B14" s="126">
        <v>0</v>
      </c>
      <c r="C14" s="60"/>
      <c r="D14" s="60"/>
      <c r="E14" s="56"/>
      <c r="F14" s="56"/>
      <c r="G14" s="160"/>
      <c r="H14" s="160"/>
      <c r="I14" s="160"/>
      <c r="J14" s="160"/>
      <c r="K14" s="160"/>
      <c r="L14" s="160"/>
      <c r="M14" s="164"/>
    </row>
    <row r="15" spans="1:13" ht="15" customHeight="1">
      <c r="A15" s="89" t="s">
        <v>30</v>
      </c>
      <c r="B15" s="126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3"/>
    </row>
    <row r="16" spans="1:13" ht="15" customHeight="1">
      <c r="A16" s="88" t="s">
        <v>31</v>
      </c>
      <c r="B16" s="126">
        <v>0</v>
      </c>
      <c r="C16" s="60"/>
      <c r="D16" s="60"/>
      <c r="E16" s="56"/>
      <c r="F16" s="56"/>
      <c r="G16" s="160"/>
      <c r="H16" s="160"/>
      <c r="I16" s="160"/>
      <c r="J16" s="160"/>
      <c r="K16" s="160"/>
      <c r="L16" s="160"/>
      <c r="M16" s="164"/>
    </row>
    <row r="17" spans="1:13" ht="15" customHeight="1">
      <c r="A17" s="88" t="s">
        <v>32</v>
      </c>
      <c r="B17" s="126">
        <v>0</v>
      </c>
      <c r="C17" s="60"/>
      <c r="D17" s="60"/>
      <c r="E17" s="56"/>
      <c r="F17" s="56"/>
      <c r="G17" s="160"/>
      <c r="H17" s="160"/>
      <c r="I17" s="160"/>
      <c r="J17" s="160"/>
      <c r="K17" s="160"/>
      <c r="L17" s="160"/>
      <c r="M17" s="164"/>
    </row>
    <row r="18" spans="1:13" ht="15" customHeight="1" thickBot="1">
      <c r="A18" s="90" t="s">
        <v>33</v>
      </c>
      <c r="B18" s="12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3"/>
    </row>
    <row r="19" spans="1:13" ht="15" customHeight="1" thickBot="1">
      <c r="A19" s="67" t="s">
        <v>34</v>
      </c>
      <c r="B19" s="123">
        <f>SUM(B5:B18)</f>
        <v>7340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22">
        <v>2740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3"/>
    </row>
    <row r="21" spans="1:13" ht="15" customHeight="1" thickBot="1">
      <c r="A21" s="67" t="s">
        <v>15</v>
      </c>
      <c r="B21" s="123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8"/>
    </row>
    <row r="23" spans="1:13" ht="15" customHeight="1" thickBot="1">
      <c r="A23" s="91" t="s">
        <v>13</v>
      </c>
      <c r="B23" s="125"/>
      <c r="C23" s="72"/>
      <c r="D23" s="165"/>
      <c r="E23" s="165"/>
      <c r="F23" s="165"/>
      <c r="G23" s="165"/>
      <c r="H23" s="165"/>
      <c r="I23" s="166"/>
      <c r="J23" s="165"/>
      <c r="K23" s="165"/>
      <c r="L23" s="165"/>
      <c r="M23" s="167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2" t="s">
        <v>85</v>
      </c>
    </row>
    <row r="26" spans="1:13">
      <c r="A26" s="29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tabSelected="1"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88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3840</v>
      </c>
      <c r="D12" s="61">
        <v>4960</v>
      </c>
      <c r="E12" s="57">
        <v>4640</v>
      </c>
      <c r="F12" s="171">
        <v>4800</v>
      </c>
      <c r="G12" s="57">
        <v>4640</v>
      </c>
      <c r="H12" s="171">
        <v>4960</v>
      </c>
      <c r="I12" s="61">
        <v>4800</v>
      </c>
      <c r="J12" s="61">
        <v>4800</v>
      </c>
      <c r="K12" s="171">
        <v>4960</v>
      </c>
      <c r="L12" s="61">
        <v>4800</v>
      </c>
      <c r="M12" s="172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3840</v>
      </c>
      <c r="D19" s="69">
        <f t="shared" ref="D19:M19" si="0">SUM(D5:D18)</f>
        <v>4960</v>
      </c>
      <c r="E19" s="69">
        <f t="shared" si="0"/>
        <v>4640</v>
      </c>
      <c r="F19" s="69">
        <f t="shared" si="0"/>
        <v>4800</v>
      </c>
      <c r="G19" s="69">
        <f t="shared" si="0"/>
        <v>4640</v>
      </c>
      <c r="H19" s="69">
        <f t="shared" si="0"/>
        <v>4960</v>
      </c>
      <c r="I19" s="69">
        <f t="shared" si="0"/>
        <v>4800</v>
      </c>
      <c r="J19" s="69">
        <f t="shared" si="0"/>
        <v>4800</v>
      </c>
      <c r="K19" s="69">
        <f t="shared" si="0"/>
        <v>4960</v>
      </c>
      <c r="L19" s="69">
        <f t="shared" si="0"/>
        <v>4800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0</v>
      </c>
      <c r="D20" s="61">
        <v>360</v>
      </c>
      <c r="E20" s="61">
        <v>40</v>
      </c>
      <c r="F20" s="61">
        <v>200</v>
      </c>
      <c r="G20" s="61">
        <v>40</v>
      </c>
      <c r="H20" s="61">
        <v>360</v>
      </c>
      <c r="I20" s="61">
        <v>200</v>
      </c>
      <c r="J20" s="61">
        <v>200</v>
      </c>
      <c r="K20" s="61">
        <v>360</v>
      </c>
      <c r="L20" s="61">
        <v>200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3840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4600</v>
      </c>
      <c r="L21" s="69">
        <f t="shared" si="1"/>
        <v>4600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3840</v>
      </c>
      <c r="D22" s="77">
        <f>AVERAGE($C$21:D21)</f>
        <v>4220</v>
      </c>
      <c r="E22" s="77">
        <f>AVERAGE($C$21:E21)</f>
        <v>4346.666666666667</v>
      </c>
      <c r="F22" s="77">
        <f>AVERAGE($C$21:F21)</f>
        <v>4410</v>
      </c>
      <c r="G22" s="77">
        <f>AVERAGE($C$21:G21)</f>
        <v>4448</v>
      </c>
      <c r="H22" s="77">
        <f>AVERAGE($C$21:H21)</f>
        <v>4473.333333333333</v>
      </c>
      <c r="I22" s="77">
        <f>AVERAGE($C$21:I21)</f>
        <v>4491.4285714285716</v>
      </c>
      <c r="J22" s="77">
        <f>AVERAGE($C$21:J21)</f>
        <v>4505</v>
      </c>
      <c r="K22" s="77">
        <f>AVERAGE($C$21:K21)</f>
        <v>4515.5555555555557</v>
      </c>
      <c r="L22" s="77">
        <f>AVERAGE($C$21:L21)</f>
        <v>4524</v>
      </c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L19" sqref="L19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47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6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400</v>
      </c>
      <c r="C5" s="96">
        <v>400</v>
      </c>
      <c r="D5" s="96">
        <v>430</v>
      </c>
      <c r="E5" s="96">
        <v>430</v>
      </c>
      <c r="F5" s="96">
        <v>430</v>
      </c>
      <c r="G5" s="96">
        <v>430</v>
      </c>
      <c r="H5" s="96">
        <v>430</v>
      </c>
      <c r="I5" s="96">
        <v>430</v>
      </c>
      <c r="J5" s="96">
        <v>500</v>
      </c>
      <c r="K5" s="96">
        <v>500</v>
      </c>
      <c r="L5" s="96">
        <v>0</v>
      </c>
      <c r="M5" s="97">
        <v>0</v>
      </c>
    </row>
    <row r="6" spans="1:13" ht="15" customHeight="1">
      <c r="A6" s="86" t="s">
        <v>21</v>
      </c>
      <c r="B6" s="113">
        <v>650</v>
      </c>
      <c r="C6" s="96">
        <v>650</v>
      </c>
      <c r="D6" s="96">
        <v>670</v>
      </c>
      <c r="E6" s="96">
        <v>666.74</v>
      </c>
      <c r="F6" s="96">
        <v>666.52</v>
      </c>
      <c r="G6" s="96">
        <v>667.4</v>
      </c>
      <c r="H6" s="96">
        <v>666.96</v>
      </c>
      <c r="I6" s="96">
        <v>666.52</v>
      </c>
      <c r="J6" s="96">
        <v>728.52</v>
      </c>
      <c r="K6" s="96">
        <v>728.04</v>
      </c>
      <c r="L6" s="96">
        <v>728.04</v>
      </c>
      <c r="M6" s="97">
        <v>0</v>
      </c>
    </row>
    <row r="7" spans="1:13" ht="15" customHeight="1">
      <c r="A7" s="86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6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6" t="s">
        <v>24</v>
      </c>
      <c r="B9" s="113">
        <v>80</v>
      </c>
      <c r="C9" s="96">
        <v>80</v>
      </c>
      <c r="D9" s="96">
        <f>100+85</f>
        <v>185</v>
      </c>
      <c r="E9" s="96">
        <v>85</v>
      </c>
      <c r="F9" s="96">
        <v>85</v>
      </c>
      <c r="G9" s="96">
        <v>85</v>
      </c>
      <c r="H9" s="96">
        <v>85</v>
      </c>
      <c r="I9" s="96">
        <v>85</v>
      </c>
      <c r="J9" s="96">
        <v>85</v>
      </c>
      <c r="K9" s="96">
        <v>85</v>
      </c>
      <c r="L9" s="96">
        <v>0</v>
      </c>
      <c r="M9" s="97">
        <v>0</v>
      </c>
    </row>
    <row r="10" spans="1:13" ht="15" customHeight="1">
      <c r="A10" s="86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98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6" t="s">
        <v>27</v>
      </c>
      <c r="B12" s="114">
        <v>3520</v>
      </c>
      <c r="C12" s="98">
        <f>1360+2160</f>
        <v>3520</v>
      </c>
      <c r="D12" s="98">
        <f>1360+2160</f>
        <v>3520</v>
      </c>
      <c r="E12" s="96">
        <f>1360+2160</f>
        <v>3520</v>
      </c>
      <c r="F12" s="98">
        <v>3520</v>
      </c>
      <c r="G12" s="98">
        <v>3600</v>
      </c>
      <c r="H12" s="98">
        <v>3600</v>
      </c>
      <c r="I12" s="98">
        <f>1360+2160</f>
        <v>3520</v>
      </c>
      <c r="J12" s="98">
        <f>1920+1680</f>
        <v>3600</v>
      </c>
      <c r="K12" s="98">
        <f>1760+1840</f>
        <v>3600</v>
      </c>
      <c r="L12" s="98">
        <f>1760+1840</f>
        <v>3600</v>
      </c>
      <c r="M12" s="99">
        <v>0</v>
      </c>
    </row>
    <row r="13" spans="1:13" s="6" customFormat="1" ht="15" customHeight="1">
      <c r="A13" s="86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6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6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6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6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4650</v>
      </c>
      <c r="C19" s="101">
        <f t="shared" si="0"/>
        <v>4650</v>
      </c>
      <c r="D19" s="101">
        <f t="shared" si="0"/>
        <v>4805</v>
      </c>
      <c r="E19" s="101">
        <f t="shared" si="0"/>
        <v>4701.74</v>
      </c>
      <c r="F19" s="101">
        <f t="shared" si="0"/>
        <v>4701.5200000000004</v>
      </c>
      <c r="G19" s="101">
        <f t="shared" si="0"/>
        <v>4782.3999999999996</v>
      </c>
      <c r="H19" s="101">
        <f t="shared" si="0"/>
        <v>4781.96</v>
      </c>
      <c r="I19" s="101">
        <f t="shared" si="0"/>
        <v>4701.5200000000004</v>
      </c>
      <c r="J19" s="101">
        <f t="shared" si="0"/>
        <v>4913.5200000000004</v>
      </c>
      <c r="K19" s="101">
        <f t="shared" si="0"/>
        <v>4913.04</v>
      </c>
      <c r="L19" s="101">
        <f t="shared" si="0"/>
        <v>4328.04</v>
      </c>
      <c r="M19" s="101">
        <f t="shared" si="0"/>
        <v>0</v>
      </c>
    </row>
    <row r="20" spans="1:13" ht="15" customHeight="1" thickBot="1">
      <c r="A20" s="70" t="s">
        <v>14</v>
      </c>
      <c r="B20" s="116">
        <v>50</v>
      </c>
      <c r="C20" s="98">
        <v>50</v>
      </c>
      <c r="D20" s="98">
        <v>205</v>
      </c>
      <c r="E20" s="98">
        <v>101.74</v>
      </c>
      <c r="F20" s="98">
        <v>101.52</v>
      </c>
      <c r="G20" s="98">
        <v>182.4</v>
      </c>
      <c r="H20" s="98">
        <v>181.96</v>
      </c>
      <c r="I20" s="98">
        <v>101.52</v>
      </c>
      <c r="J20" s="98">
        <v>313.52</v>
      </c>
      <c r="K20" s="98">
        <v>313.04000000000002</v>
      </c>
      <c r="L20" s="98">
        <v>18.04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4600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</v>
      </c>
      <c r="H21" s="101">
        <f t="shared" si="1"/>
        <v>4600</v>
      </c>
      <c r="I21" s="101">
        <f t="shared" si="1"/>
        <v>4600</v>
      </c>
      <c r="J21" s="101">
        <f t="shared" si="1"/>
        <v>4600</v>
      </c>
      <c r="K21" s="101">
        <f t="shared" si="1"/>
        <v>4600</v>
      </c>
      <c r="L21" s="101">
        <f t="shared" si="1"/>
        <v>4310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>
        <f>AVERAGE($B$21:I21)</f>
        <v>4600</v>
      </c>
      <c r="J22" s="111">
        <f>AVERAGE($B$21:J21)</f>
        <v>4600</v>
      </c>
      <c r="K22" s="111">
        <f>AVERAGE($B$21:K21)</f>
        <v>4600</v>
      </c>
      <c r="L22" s="111">
        <f>AVERAGE($B$21:L21)</f>
        <v>4573.636363636364</v>
      </c>
      <c r="M22" s="112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L19" sqref="L19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4" ht="21.75" thickBot="1">
      <c r="A2" s="177" t="s">
        <v>48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4" s="156" customFormat="1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4" s="155" customFormat="1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4" ht="15" customHeight="1">
      <c r="A5" s="86" t="s">
        <v>20</v>
      </c>
      <c r="B5" s="113"/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87" t="s">
        <v>25</v>
      </c>
      <c r="B10" s="113">
        <v>205.71</v>
      </c>
      <c r="C10" s="96">
        <v>205.71</v>
      </c>
      <c r="D10" s="96">
        <v>210.02</v>
      </c>
      <c r="E10" s="96">
        <v>205.71</v>
      </c>
      <c r="F10" s="96">
        <v>206.42</v>
      </c>
      <c r="G10" s="96">
        <v>0</v>
      </c>
      <c r="H10" s="96">
        <v>191.29</v>
      </c>
      <c r="I10" s="96">
        <v>211.32</v>
      </c>
      <c r="J10" s="96">
        <v>205.71</v>
      </c>
      <c r="K10" s="96">
        <v>205.71</v>
      </c>
      <c r="L10" s="96">
        <v>204.55</v>
      </c>
      <c r="M10" s="97">
        <v>0</v>
      </c>
    </row>
    <row r="11" spans="1:14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9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  <c r="N12" s="19"/>
    </row>
    <row r="13" spans="1:14" s="6" customFormat="1" ht="15" customHeight="1">
      <c r="A13" s="88" t="s">
        <v>28</v>
      </c>
      <c r="B13" s="103">
        <v>0</v>
      </c>
      <c r="C13" s="98">
        <v>1880</v>
      </c>
      <c r="D13" s="98">
        <v>0</v>
      </c>
      <c r="E13" s="96">
        <f>1112+705</f>
        <v>1817</v>
      </c>
      <c r="F13" s="96">
        <v>1652</v>
      </c>
      <c r="G13" s="98">
        <f>1060+70</f>
        <v>1130</v>
      </c>
      <c r="H13" s="98">
        <f>895+505</f>
        <v>1400</v>
      </c>
      <c r="I13" s="98">
        <f>370+1060</f>
        <v>1430</v>
      </c>
      <c r="J13" s="98">
        <f>350+180+1100</f>
        <v>1630</v>
      </c>
      <c r="K13" s="98">
        <v>1180</v>
      </c>
      <c r="L13" s="98">
        <v>1372</v>
      </c>
      <c r="M13" s="99">
        <v>0</v>
      </c>
    </row>
    <row r="14" spans="1:14" s="9" customFormat="1" ht="15" customHeight="1">
      <c r="A14" s="88" t="s">
        <v>29</v>
      </c>
      <c r="B14" s="114">
        <v>2000</v>
      </c>
      <c r="C14" s="98">
        <v>2000</v>
      </c>
      <c r="D14" s="98">
        <v>2000</v>
      </c>
      <c r="E14" s="96">
        <v>2000</v>
      </c>
      <c r="F14" s="96">
        <v>2000</v>
      </c>
      <c r="G14" s="96">
        <v>2000</v>
      </c>
      <c r="H14" s="96">
        <v>2000</v>
      </c>
      <c r="I14" s="96">
        <v>2000</v>
      </c>
      <c r="J14" s="96">
        <v>2000</v>
      </c>
      <c r="K14" s="96">
        <v>2000</v>
      </c>
      <c r="L14" s="96">
        <v>2000</v>
      </c>
      <c r="M14" s="99">
        <v>0</v>
      </c>
    </row>
    <row r="15" spans="1:14" s="6" customFormat="1" ht="15" customHeight="1">
      <c r="A15" s="88" t="s">
        <v>30</v>
      </c>
      <c r="B15" s="114">
        <v>430</v>
      </c>
      <c r="C15" s="98">
        <f>166.4+288</f>
        <v>454.4</v>
      </c>
      <c r="D15" s="98">
        <f>165+288</f>
        <v>453</v>
      </c>
      <c r="E15" s="96">
        <f>382.1+300</f>
        <v>682.1</v>
      </c>
      <c r="F15" s="96">
        <f>470</f>
        <v>470</v>
      </c>
      <c r="G15" s="98">
        <f>411.8+480</f>
        <v>891.8</v>
      </c>
      <c r="H15" s="98">
        <f>170+286.3+470</f>
        <v>926.3</v>
      </c>
      <c r="I15" s="98">
        <f>17.98+25.98+293.2+405</f>
        <v>742.16</v>
      </c>
      <c r="J15" s="98">
        <f>392.4+300</f>
        <v>692.4</v>
      </c>
      <c r="K15" s="98">
        <f>345.2+500</f>
        <v>845.2</v>
      </c>
      <c r="L15" s="98">
        <f>497.8+510</f>
        <v>1007.8</v>
      </c>
      <c r="M15" s="99">
        <v>0</v>
      </c>
    </row>
    <row r="16" spans="1:14" s="6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190</v>
      </c>
      <c r="G18" s="98">
        <v>0</v>
      </c>
      <c r="H18" s="98">
        <v>0</v>
      </c>
      <c r="I18" s="98">
        <v>200</v>
      </c>
      <c r="J18" s="98">
        <v>150</v>
      </c>
      <c r="K18" s="98">
        <v>200</v>
      </c>
      <c r="L18" s="98">
        <v>230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2635.71</v>
      </c>
      <c r="C19" s="101">
        <f t="shared" si="0"/>
        <v>4540.1099999999997</v>
      </c>
      <c r="D19" s="101">
        <f t="shared" si="0"/>
        <v>2663.02</v>
      </c>
      <c r="E19" s="101">
        <f t="shared" si="0"/>
        <v>4704.8100000000004</v>
      </c>
      <c r="F19" s="101">
        <f t="shared" si="0"/>
        <v>4518.42</v>
      </c>
      <c r="G19" s="101">
        <f t="shared" si="0"/>
        <v>4021.8</v>
      </c>
      <c r="H19" s="101">
        <f t="shared" si="0"/>
        <v>4517.59</v>
      </c>
      <c r="I19" s="101">
        <f t="shared" si="0"/>
        <v>4583.4799999999996</v>
      </c>
      <c r="J19" s="101">
        <f t="shared" si="0"/>
        <v>4678.1099999999997</v>
      </c>
      <c r="K19" s="101">
        <f t="shared" si="0"/>
        <v>4430.91</v>
      </c>
      <c r="L19" s="101">
        <f t="shared" si="0"/>
        <v>4814.3500000000004</v>
      </c>
      <c r="M19" s="101">
        <f t="shared" si="0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4.3099999999999996</v>
      </c>
      <c r="E20" s="98">
        <v>104.81</v>
      </c>
      <c r="F20" s="98">
        <v>4.45</v>
      </c>
      <c r="G20" s="98">
        <v>0</v>
      </c>
      <c r="H20" s="98">
        <v>0</v>
      </c>
      <c r="I20" s="98">
        <v>49.57</v>
      </c>
      <c r="J20" s="98">
        <v>78.11</v>
      </c>
      <c r="K20" s="98">
        <v>0</v>
      </c>
      <c r="L20" s="98">
        <v>214.35</v>
      </c>
      <c r="M20" s="99">
        <v>0</v>
      </c>
    </row>
    <row r="21" spans="1:13" ht="15" customHeight="1" thickBot="1">
      <c r="A21" s="67" t="s">
        <v>15</v>
      </c>
      <c r="B21" s="69">
        <f>B19-B20</f>
        <v>2635.71</v>
      </c>
      <c r="C21" s="101">
        <f t="shared" ref="C21:M21" si="1">C19-C20</f>
        <v>4540.1099999999997</v>
      </c>
      <c r="D21" s="101">
        <f t="shared" si="1"/>
        <v>2658.71</v>
      </c>
      <c r="E21" s="101">
        <f t="shared" si="1"/>
        <v>4600</v>
      </c>
      <c r="F21" s="101">
        <f t="shared" si="1"/>
        <v>4513.97</v>
      </c>
      <c r="G21" s="101">
        <f t="shared" si="1"/>
        <v>4021.8</v>
      </c>
      <c r="H21" s="101">
        <f t="shared" si="1"/>
        <v>4517.59</v>
      </c>
      <c r="I21" s="101">
        <f t="shared" si="1"/>
        <v>4533.91</v>
      </c>
      <c r="J21" s="101">
        <f t="shared" si="1"/>
        <v>4600</v>
      </c>
      <c r="K21" s="101">
        <f t="shared" si="1"/>
        <v>4430.91</v>
      </c>
      <c r="L21" s="101">
        <f t="shared" si="1"/>
        <v>4600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2635.71</v>
      </c>
      <c r="C22" s="111">
        <f>AVERAGE($B$21:C21)</f>
        <v>3587.91</v>
      </c>
      <c r="D22" s="111">
        <f>AVERAGE($B$21:D21)</f>
        <v>3278.1766666666663</v>
      </c>
      <c r="E22" s="111">
        <f>AVERAGE($B$21:E21)</f>
        <v>3608.6324999999997</v>
      </c>
      <c r="F22" s="111">
        <f>AVERAGE($B$21:F21)</f>
        <v>3789.7</v>
      </c>
      <c r="G22" s="111">
        <f>AVERAGE($B$21:G21)</f>
        <v>3828.3833333333332</v>
      </c>
      <c r="H22" s="111">
        <f>AVERAGE($B$21:H21)</f>
        <v>3926.8414285714284</v>
      </c>
      <c r="I22" s="111">
        <f>AVERAGE($B$21:I21)</f>
        <v>4002.7249999999999</v>
      </c>
      <c r="J22" s="111">
        <f>AVERAGE($B$21:J21)</f>
        <v>4069.0888888888894</v>
      </c>
      <c r="K22" s="111">
        <f>AVERAGE($B$21:K21)</f>
        <v>4105.2710000000006</v>
      </c>
      <c r="L22" s="111">
        <f>AVERAGE($B$21:L21)</f>
        <v>4150.2463636363645</v>
      </c>
      <c r="M22" s="112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19" sqref="L19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49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4704</v>
      </c>
      <c r="C12" s="98">
        <v>2184</v>
      </c>
      <c r="D12" s="98">
        <v>4704</v>
      </c>
      <c r="E12" s="98">
        <v>4704</v>
      </c>
      <c r="F12" s="98">
        <v>4704</v>
      </c>
      <c r="G12" s="98">
        <v>4704</v>
      </c>
      <c r="H12" s="98">
        <v>4704</v>
      </c>
      <c r="I12" s="98">
        <v>4704</v>
      </c>
      <c r="J12" s="98">
        <v>4704</v>
      </c>
      <c r="K12" s="98">
        <v>4704</v>
      </c>
      <c r="L12" s="98">
        <v>4704</v>
      </c>
      <c r="M12" s="99">
        <v>0</v>
      </c>
    </row>
    <row r="13" spans="1:13" s="9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4704</v>
      </c>
      <c r="C19" s="101">
        <f t="shared" si="0"/>
        <v>2184</v>
      </c>
      <c r="D19" s="101">
        <f t="shared" si="0"/>
        <v>4704</v>
      </c>
      <c r="E19" s="101">
        <f t="shared" si="0"/>
        <v>4704</v>
      </c>
      <c r="F19" s="101">
        <f t="shared" si="0"/>
        <v>4704</v>
      </c>
      <c r="G19" s="101">
        <f t="shared" si="0"/>
        <v>4704</v>
      </c>
      <c r="H19" s="101">
        <f t="shared" si="0"/>
        <v>4704</v>
      </c>
      <c r="I19" s="101">
        <f t="shared" si="0"/>
        <v>4704</v>
      </c>
      <c r="J19" s="101">
        <f t="shared" si="0"/>
        <v>4704</v>
      </c>
      <c r="K19" s="101">
        <f t="shared" si="0"/>
        <v>4704</v>
      </c>
      <c r="L19" s="101">
        <f t="shared" si="0"/>
        <v>4704</v>
      </c>
      <c r="M19" s="101">
        <f t="shared" si="0"/>
        <v>0</v>
      </c>
    </row>
    <row r="20" spans="1:13" ht="15" customHeight="1" thickBot="1">
      <c r="A20" s="70" t="s">
        <v>14</v>
      </c>
      <c r="B20" s="116">
        <v>104</v>
      </c>
      <c r="C20" s="98">
        <v>0</v>
      </c>
      <c r="D20" s="98">
        <v>104</v>
      </c>
      <c r="E20" s="98">
        <v>104</v>
      </c>
      <c r="F20" s="98">
        <f>104+28.07</f>
        <v>132.07</v>
      </c>
      <c r="G20" s="98">
        <v>104</v>
      </c>
      <c r="H20" s="98">
        <f>104+125.9</f>
        <v>229.9</v>
      </c>
      <c r="I20" s="98">
        <v>104</v>
      </c>
      <c r="J20" s="98">
        <f>76.39+104</f>
        <v>180.39</v>
      </c>
      <c r="K20" s="98">
        <v>104</v>
      </c>
      <c r="L20" s="98">
        <f>560.08+104</f>
        <v>664.08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2184</v>
      </c>
      <c r="D21" s="101">
        <f t="shared" si="1"/>
        <v>4600</v>
      </c>
      <c r="E21" s="101">
        <f t="shared" si="1"/>
        <v>4600</v>
      </c>
      <c r="F21" s="101">
        <f t="shared" si="1"/>
        <v>4571.93</v>
      </c>
      <c r="G21" s="101">
        <f t="shared" si="1"/>
        <v>4600</v>
      </c>
      <c r="H21" s="101">
        <f t="shared" si="1"/>
        <v>4474.1000000000004</v>
      </c>
      <c r="I21" s="101">
        <f t="shared" si="1"/>
        <v>4600</v>
      </c>
      <c r="J21" s="101">
        <f t="shared" si="1"/>
        <v>4523.6099999999997</v>
      </c>
      <c r="K21" s="101">
        <f t="shared" si="1"/>
        <v>4600</v>
      </c>
      <c r="L21" s="101">
        <f t="shared" si="1"/>
        <v>4039.92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3392</v>
      </c>
      <c r="D22" s="111">
        <f>AVERAGE($B$21:D21)</f>
        <v>3794.6666666666665</v>
      </c>
      <c r="E22" s="111">
        <f>AVERAGE($B$21:E21)</f>
        <v>3996</v>
      </c>
      <c r="F22" s="111">
        <f>AVERAGE($B$21:F21)</f>
        <v>4111.1859999999997</v>
      </c>
      <c r="G22" s="111">
        <f>AVERAGE($B$21:G21)</f>
        <v>4192.6549999999997</v>
      </c>
      <c r="H22" s="111">
        <f>AVERAGE($B$21:H21)</f>
        <v>4232.8614285714284</v>
      </c>
      <c r="I22" s="111">
        <f>AVERAGE($B$21:I21)</f>
        <v>4278.7537499999999</v>
      </c>
      <c r="J22" s="111">
        <f>AVERAGE($B$21:J21)</f>
        <v>4305.96</v>
      </c>
      <c r="K22" s="111">
        <f>AVERAGE($B$21:K21)</f>
        <v>4335.3639999999996</v>
      </c>
      <c r="L22" s="111">
        <f>AVERAGE($B$21:L21)</f>
        <v>4308.5054545454541</v>
      </c>
      <c r="M22" s="112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12" sqref="K1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50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2697</v>
      </c>
      <c r="C12" s="98">
        <f>1876+2436</f>
        <v>4312</v>
      </c>
      <c r="D12" s="98">
        <f>2010+2610</f>
        <v>4620</v>
      </c>
      <c r="E12" s="98">
        <f>2010+2610</f>
        <v>4620</v>
      </c>
      <c r="F12" s="98">
        <v>4774</v>
      </c>
      <c r="G12" s="98">
        <v>2010</v>
      </c>
      <c r="H12" s="98">
        <f>2356+2356</f>
        <v>4712</v>
      </c>
      <c r="I12" s="98">
        <f>2356+2356</f>
        <v>4712</v>
      </c>
      <c r="J12" s="98">
        <f>2280+2280</f>
        <v>4560</v>
      </c>
      <c r="K12" s="98">
        <f>2356+2356</f>
        <v>4712</v>
      </c>
      <c r="L12" s="98">
        <f>2280+2280</f>
        <v>4560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1744.5</v>
      </c>
      <c r="C15" s="98">
        <v>0</v>
      </c>
      <c r="D15" s="98">
        <v>0</v>
      </c>
      <c r="E15" s="96">
        <v>0</v>
      </c>
      <c r="F15" s="96">
        <v>0</v>
      </c>
      <c r="G15" s="98">
        <v>1763.88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4441.5</v>
      </c>
      <c r="C19" s="101">
        <f t="shared" ref="C19:M19" si="0">SUM(C5:C18)</f>
        <v>4312</v>
      </c>
      <c r="D19" s="101">
        <f t="shared" si="0"/>
        <v>4620</v>
      </c>
      <c r="E19" s="101">
        <f t="shared" si="0"/>
        <v>4620</v>
      </c>
      <c r="F19" s="101">
        <f t="shared" si="0"/>
        <v>4774</v>
      </c>
      <c r="G19" s="101">
        <f t="shared" si="0"/>
        <v>3773.88</v>
      </c>
      <c r="H19" s="101">
        <f t="shared" si="0"/>
        <v>4712</v>
      </c>
      <c r="I19" s="101">
        <f t="shared" si="0"/>
        <v>4712</v>
      </c>
      <c r="J19" s="101">
        <f t="shared" si="0"/>
        <v>4560</v>
      </c>
      <c r="K19" s="101">
        <f t="shared" si="0"/>
        <v>4712</v>
      </c>
      <c r="L19" s="101">
        <f t="shared" si="0"/>
        <v>4560</v>
      </c>
      <c r="M19" s="101">
        <f t="shared" si="0"/>
        <v>0</v>
      </c>
    </row>
    <row r="20" spans="1:13" ht="15" customHeight="1" thickBot="1">
      <c r="A20" s="70" t="s">
        <v>14</v>
      </c>
      <c r="B20" s="98">
        <v>0</v>
      </c>
      <c r="C20" s="98">
        <v>0</v>
      </c>
      <c r="D20" s="98">
        <v>20</v>
      </c>
      <c r="E20" s="98">
        <v>20</v>
      </c>
      <c r="F20" s="98">
        <v>174</v>
      </c>
      <c r="G20" s="98">
        <v>0</v>
      </c>
      <c r="H20" s="98">
        <v>112</v>
      </c>
      <c r="I20" s="98">
        <v>112</v>
      </c>
      <c r="J20" s="98">
        <v>0</v>
      </c>
      <c r="K20" s="98">
        <v>112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4441.5</v>
      </c>
      <c r="C21" s="101">
        <f t="shared" ref="C21:M21" si="1">C19-C20</f>
        <v>4312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3773.88</v>
      </c>
      <c r="H21" s="101">
        <f t="shared" si="1"/>
        <v>4600</v>
      </c>
      <c r="I21" s="101">
        <f t="shared" si="1"/>
        <v>4600</v>
      </c>
      <c r="J21" s="101">
        <f t="shared" si="1"/>
        <v>4560</v>
      </c>
      <c r="K21" s="101">
        <f t="shared" si="1"/>
        <v>4600</v>
      </c>
      <c r="L21" s="101">
        <f t="shared" si="1"/>
        <v>4560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4441.5</v>
      </c>
      <c r="C22" s="111">
        <f>AVERAGE($B$21:C21)</f>
        <v>4376.75</v>
      </c>
      <c r="D22" s="111">
        <f>AVERAGE($B$21:D21)</f>
        <v>4451.166666666667</v>
      </c>
      <c r="E22" s="111">
        <f>AVERAGE($B$21:E21)</f>
        <v>4488.375</v>
      </c>
      <c r="F22" s="111">
        <f>AVERAGE($B$21:F21)</f>
        <v>4510.7</v>
      </c>
      <c r="G22" s="111">
        <f>AVERAGE($B$21:G21)</f>
        <v>4387.8966666666665</v>
      </c>
      <c r="H22" s="111">
        <f>AVERAGE($B$21:H21)</f>
        <v>4418.1971428571433</v>
      </c>
      <c r="I22" s="111">
        <f>AVERAGE($B$21:I21)</f>
        <v>4440.9225000000006</v>
      </c>
      <c r="J22" s="111">
        <f>AVERAGE($B$21:J21)</f>
        <v>4454.1533333333336</v>
      </c>
      <c r="K22" s="111">
        <f>AVERAGE($B$21:K21)</f>
        <v>4468.7380000000003</v>
      </c>
      <c r="L22" s="111">
        <f>AVERAGE($B$21:L21)</f>
        <v>4477.0345454545459</v>
      </c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J1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L19" sqref="L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51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58" customFormat="1" ht="15" customHeight="1">
      <c r="A5" s="86" t="s">
        <v>20</v>
      </c>
      <c r="B5" s="119">
        <v>1900</v>
      </c>
      <c r="C5" s="96">
        <v>1900</v>
      </c>
      <c r="D5" s="96">
        <v>1900</v>
      </c>
      <c r="E5" s="96">
        <v>1900</v>
      </c>
      <c r="F5" s="96">
        <v>1900</v>
      </c>
      <c r="G5" s="96">
        <v>1900</v>
      </c>
      <c r="H5" s="96">
        <v>1900</v>
      </c>
      <c r="I5" s="96">
        <v>1900</v>
      </c>
      <c r="J5" s="96">
        <v>1900</v>
      </c>
      <c r="K5" s="96">
        <v>1900</v>
      </c>
      <c r="L5" s="96">
        <v>1960</v>
      </c>
      <c r="M5" s="97">
        <v>0</v>
      </c>
    </row>
    <row r="6" spans="1:13" s="58" customFormat="1" ht="15" customHeight="1">
      <c r="A6" s="87" t="s">
        <v>21</v>
      </c>
      <c r="B6" s="119">
        <v>720.13</v>
      </c>
      <c r="C6" s="96">
        <v>720.13</v>
      </c>
      <c r="D6" s="96">
        <v>720.13</v>
      </c>
      <c r="E6" s="96">
        <v>720.13</v>
      </c>
      <c r="F6" s="96">
        <v>720.13</v>
      </c>
      <c r="G6" s="96">
        <v>720.13</v>
      </c>
      <c r="H6" s="96">
        <v>720.13</v>
      </c>
      <c r="I6" s="96">
        <v>739.08</v>
      </c>
      <c r="J6" s="96">
        <v>720.13</v>
      </c>
      <c r="K6" s="96">
        <v>720.13</v>
      </c>
      <c r="L6" s="96">
        <v>720.13</v>
      </c>
      <c r="M6" s="97">
        <v>0</v>
      </c>
    </row>
    <row r="7" spans="1:13" s="58" customFormat="1" ht="15" customHeight="1">
      <c r="A7" s="87" t="s">
        <v>22</v>
      </c>
      <c r="B7" s="119">
        <v>271.62</v>
      </c>
      <c r="C7" s="96">
        <v>238.52</v>
      </c>
      <c r="D7" s="96">
        <v>382.24</v>
      </c>
      <c r="E7" s="96">
        <v>367.69</v>
      </c>
      <c r="F7" s="96">
        <v>376.62</v>
      </c>
      <c r="G7" s="96">
        <v>510.74</v>
      </c>
      <c r="H7" s="96">
        <v>368.6</v>
      </c>
      <c r="I7" s="96">
        <v>214.96</v>
      </c>
      <c r="J7" s="96">
        <v>402.88</v>
      </c>
      <c r="K7" s="96">
        <v>398.84</v>
      </c>
      <c r="L7" s="96">
        <v>424.98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298.70999999999998</v>
      </c>
      <c r="D9" s="96">
        <v>298.70999999999998</v>
      </c>
      <c r="E9" s="96">
        <v>298.70999999999998</v>
      </c>
      <c r="F9" s="96">
        <v>298.70999999999998</v>
      </c>
      <c r="G9" s="96">
        <v>298.70999999999998</v>
      </c>
      <c r="H9" s="96">
        <v>298.70999999999998</v>
      </c>
      <c r="I9" s="96">
        <f>298.71+221.43</f>
        <v>520.14</v>
      </c>
      <c r="J9" s="96">
        <v>298.70999999999998</v>
      </c>
      <c r="K9" s="96">
        <v>298.70999999999998</v>
      </c>
      <c r="L9" s="96">
        <v>298.70999999999998</v>
      </c>
      <c r="M9" s="97">
        <v>0</v>
      </c>
    </row>
    <row r="10" spans="1:13" s="58" customFormat="1" ht="15" customHeight="1">
      <c r="A10" s="87" t="s">
        <v>25</v>
      </c>
      <c r="B10" s="119">
        <v>197.29</v>
      </c>
      <c r="C10" s="96">
        <f>98.98+94.98</f>
        <v>193.96</v>
      </c>
      <c r="D10" s="96">
        <v>105.66</v>
      </c>
      <c r="E10" s="96">
        <f>100.73+92.46+94.98</f>
        <v>288.17</v>
      </c>
      <c r="F10" s="96">
        <f>98.99+93.08</f>
        <v>192.07</v>
      </c>
      <c r="G10" s="96">
        <f>98.99+94.98</f>
        <v>193.97</v>
      </c>
      <c r="H10" s="96">
        <f>98.99+91.67</f>
        <v>190.66</v>
      </c>
      <c r="I10" s="96">
        <f>98.98+103.19</f>
        <v>202.17000000000002</v>
      </c>
      <c r="J10" s="96">
        <f>98.98+103.18</f>
        <v>202.16000000000003</v>
      </c>
      <c r="K10" s="96">
        <f>98.98+103.18</f>
        <v>202.16000000000003</v>
      </c>
      <c r="L10" s="96">
        <f>98.98+101.97</f>
        <v>200.95</v>
      </c>
      <c r="M10" s="97">
        <v>0</v>
      </c>
    </row>
    <row r="11" spans="1:13" s="58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19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8" t="s">
        <v>30</v>
      </c>
      <c r="B15" s="119">
        <v>0</v>
      </c>
      <c r="C15" s="98">
        <v>70.5</v>
      </c>
      <c r="D15" s="98">
        <v>59.7</v>
      </c>
      <c r="E15" s="96">
        <v>0</v>
      </c>
      <c r="F15" s="96">
        <v>121.1</v>
      </c>
      <c r="G15" s="98">
        <v>59.7</v>
      </c>
      <c r="H15" s="98">
        <v>0</v>
      </c>
      <c r="I15" s="98">
        <v>47.8</v>
      </c>
      <c r="J15" s="98">
        <v>54.9</v>
      </c>
      <c r="K15" s="98">
        <v>43.8</v>
      </c>
      <c r="L15" s="98">
        <v>65.7</v>
      </c>
      <c r="M15" s="99">
        <v>0</v>
      </c>
    </row>
    <row r="16" spans="1:13" s="64" customFormat="1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4" s="58" customFormat="1" ht="15" customHeight="1" thickBot="1">
      <c r="A18" s="90" t="s">
        <v>33</v>
      </c>
      <c r="B18" s="120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4" s="58" customFormat="1" ht="15" customHeight="1" thickBot="1">
      <c r="A19" s="67" t="s">
        <v>34</v>
      </c>
      <c r="B19" s="121">
        <f>SUM(B5:B18)</f>
        <v>3089.04</v>
      </c>
      <c r="C19" s="101">
        <f t="shared" ref="C19:M19" si="0">SUM(C5:C18)</f>
        <v>3421.82</v>
      </c>
      <c r="D19" s="101">
        <f t="shared" si="0"/>
        <v>3466.4399999999996</v>
      </c>
      <c r="E19" s="101">
        <f t="shared" si="0"/>
        <v>3574.7000000000003</v>
      </c>
      <c r="F19" s="101">
        <f t="shared" si="0"/>
        <v>3608.63</v>
      </c>
      <c r="G19" s="101">
        <f t="shared" si="0"/>
        <v>3683.2499999999995</v>
      </c>
      <c r="H19" s="101">
        <f t="shared" si="0"/>
        <v>3478.1</v>
      </c>
      <c r="I19" s="101">
        <f t="shared" si="0"/>
        <v>3624.15</v>
      </c>
      <c r="J19" s="101">
        <f t="shared" si="0"/>
        <v>3578.78</v>
      </c>
      <c r="K19" s="101">
        <f t="shared" si="0"/>
        <v>3563.6400000000003</v>
      </c>
      <c r="L19" s="101">
        <f t="shared" si="0"/>
        <v>3670.47</v>
      </c>
      <c r="M19" s="101">
        <f t="shared" si="0"/>
        <v>0</v>
      </c>
    </row>
    <row r="20" spans="1:14" s="58" customFormat="1" ht="15" customHeight="1" thickBot="1">
      <c r="A20" s="70" t="s">
        <v>14</v>
      </c>
      <c r="B20" s="122">
        <v>0</v>
      </c>
      <c r="C20" s="98">
        <v>0</v>
      </c>
      <c r="D20" s="98">
        <v>1.68</v>
      </c>
      <c r="E20" s="98">
        <v>1.74</v>
      </c>
      <c r="F20" s="98">
        <v>2.42</v>
      </c>
      <c r="G20" s="98">
        <v>0</v>
      </c>
      <c r="H20" s="98">
        <v>0</v>
      </c>
      <c r="I20" s="98">
        <v>18.95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123">
        <f>B19-B20</f>
        <v>3089.04</v>
      </c>
      <c r="C21" s="101">
        <f t="shared" ref="C21:M21" si="1">C19-C20</f>
        <v>3421.82</v>
      </c>
      <c r="D21" s="101">
        <f t="shared" si="1"/>
        <v>3464.7599999999998</v>
      </c>
      <c r="E21" s="101">
        <f t="shared" si="1"/>
        <v>3572.9600000000005</v>
      </c>
      <c r="F21" s="101">
        <f t="shared" si="1"/>
        <v>3606.21</v>
      </c>
      <c r="G21" s="101">
        <f t="shared" si="1"/>
        <v>3683.2499999999995</v>
      </c>
      <c r="H21" s="101">
        <f t="shared" si="1"/>
        <v>3478.1</v>
      </c>
      <c r="I21" s="101">
        <f t="shared" si="1"/>
        <v>3605.2000000000003</v>
      </c>
      <c r="J21" s="101">
        <f t="shared" si="1"/>
        <v>3578.78</v>
      </c>
      <c r="K21" s="101">
        <f t="shared" si="1"/>
        <v>3563.6400000000003</v>
      </c>
      <c r="L21" s="101">
        <f t="shared" si="1"/>
        <v>3670.47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24">
        <f>AVERAGE(B21)</f>
        <v>3089.04</v>
      </c>
      <c r="C22" s="111">
        <f>AVERAGE($B$21:C21)</f>
        <v>3255.4300000000003</v>
      </c>
      <c r="D22" s="111">
        <f>AVERAGE($B$21:D21)</f>
        <v>3325.2066666666669</v>
      </c>
      <c r="E22" s="111">
        <f>AVERAGE($B$21:E21)</f>
        <v>3387.1450000000004</v>
      </c>
      <c r="F22" s="111">
        <f>AVERAGE($B$21:F21)</f>
        <v>3430.9580000000001</v>
      </c>
      <c r="G22" s="111">
        <f>AVERAGE($B$21:G21)</f>
        <v>3473.0066666666667</v>
      </c>
      <c r="H22" s="111">
        <f>AVERAGE($B$21:H21)</f>
        <v>3473.7342857142858</v>
      </c>
      <c r="I22" s="111">
        <f>AVERAGE($B$21:I21)</f>
        <v>3490.1675</v>
      </c>
      <c r="J22" s="111">
        <f>AVERAGE($B$21:J21)</f>
        <v>3500.0133333333333</v>
      </c>
      <c r="K22" s="111">
        <f>AVERAGE($B$21:K21)</f>
        <v>3506.3760000000002</v>
      </c>
      <c r="L22" s="111">
        <f>AVERAGE($B$21:L21)</f>
        <v>3521.2936363636368</v>
      </c>
      <c r="M22" s="112"/>
    </row>
    <row r="23" spans="1:14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4" ht="15">
      <c r="A24"/>
      <c r="N24" s="14" t="s">
        <v>39</v>
      </c>
    </row>
    <row r="26" spans="1:14">
      <c r="A26" s="16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43</vt:i4>
      </vt:variant>
      <vt:variant>
        <vt:lpstr>Intervalos nomeados</vt:lpstr>
      </vt:variant>
      <vt:variant>
        <vt:i4>8</vt:i4>
      </vt:variant>
    </vt:vector>
  </HeadingPairs>
  <TitlesOfParts>
    <vt:vector size="51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DAIZE MICHELE</vt:lpstr>
      <vt:lpstr>DAVI MUNIZ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RENATO ANTUNES</vt:lpstr>
      <vt:lpstr>RICARDO CRUZ</vt:lpstr>
      <vt:lpstr>RINALDO JÚNIOR</vt:lpstr>
      <vt:lpstr>RODRIGO COUTINHO</vt:lpstr>
      <vt:lpstr>ROGÉRIO DE LUCCA</vt:lpstr>
      <vt:lpstr>ROMERINHO JATOBÁ </vt:lpstr>
      <vt:lpstr>ROMERO ALBUQUERQUE</vt:lpstr>
      <vt:lpstr>SAMUEL SALAZAR</vt:lpstr>
      <vt:lpstr>WANDERSON SOBRAL</vt:lpstr>
      <vt:lpstr>WILTON BRITO</vt:lpstr>
      <vt:lpstr>'AIMÉE SILVA'!Area_de_impressao</vt:lpstr>
      <vt:lpstr>'ALMIR FERNANDO'!Area_de_impressao</vt:lpstr>
      <vt:lpstr>'CARLOS GUEIROS'!Area_de_impressao</vt:lpstr>
      <vt:lpstr>'GORETTI QUEIROZ'!Area_de_impressao</vt:lpstr>
      <vt:lpstr>'IVAN MORAES'!Area_de_impressao</vt:lpstr>
      <vt:lpstr>'JOÃO DA COSTA'!Area_de_impressao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2017-04-12T13:26:31Z</cp:lastPrinted>
  <dcterms:created xsi:type="dcterms:W3CDTF">2010-04-15T12:47:32Z</dcterms:created>
  <dcterms:modified xsi:type="dcterms:W3CDTF">2019-12-19T14:18:40Z</dcterms:modified>
</cp:coreProperties>
</file>